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6" activeTab="0"/>
  </bookViews>
  <sheets>
    <sheet name="T_1_mérleg" sheetId="1" r:id="rId1"/>
    <sheet name="T_2_kiadás_2013" sheetId="2" r:id="rId2"/>
    <sheet name="T_3_bevétel_2013" sheetId="3" r:id="rId3"/>
    <sheet name="4.tábla" sheetId="4" r:id="rId4"/>
    <sheet name="5.tábla" sheetId="5" r:id="rId5"/>
    <sheet name="6_sz_tábla K. " sheetId="6" r:id="rId6"/>
    <sheet name="6_sz_tábla B." sheetId="7" r:id="rId7"/>
    <sheet name="7.sz. tábla " sheetId="8" r:id="rId8"/>
    <sheet name="8_sz_tábla K. " sheetId="9" r:id="rId9"/>
    <sheet name="8_sz_tábla B. " sheetId="10" r:id="rId10"/>
    <sheet name="8 a tábla" sheetId="11" r:id="rId11"/>
    <sheet name="T.9.műk.peszk.kiad" sheetId="12" r:id="rId12"/>
    <sheet name="T.10.műk.bev." sheetId="13" r:id="rId13"/>
    <sheet name="T.11.felh.peszk.átad." sheetId="14" r:id="rId14"/>
    <sheet name="T.12.felhalm.bev." sheetId="15" r:id="rId15"/>
    <sheet name="T_13_kölcsönök" sheetId="16" r:id="rId16"/>
    <sheet name="T_14_Önk+PH_felúj_" sheetId="17" r:id="rId17"/>
    <sheet name="INT_14_tábla " sheetId="18" r:id="rId18"/>
    <sheet name="15_ Önk+PH_beruh " sheetId="19" r:id="rId19"/>
    <sheet name="INT_15_tábla" sheetId="20" r:id="rId20"/>
    <sheet name="T.16.Tartalék" sheetId="21" r:id="rId21"/>
    <sheet name="mérleg" sheetId="22" r:id="rId22"/>
    <sheet name="pforg" sheetId="23" r:id="rId23"/>
    <sheet name="pm." sheetId="24" r:id="rId24"/>
    <sheet name="pm.kimutatás" sheetId="25" r:id="rId25"/>
    <sheet name="pm.ÖM" sheetId="26" r:id="rId26"/>
    <sheet name="kötött normatív" sheetId="27" state="hidden" r:id="rId27"/>
    <sheet name="központosított" sheetId="28" state="hidden" r:id="rId28"/>
    <sheet name="cél,címzett" sheetId="29" state="hidden" r:id="rId29"/>
  </sheets>
  <externalReferences>
    <externalReference r:id="rId32"/>
    <externalReference r:id="rId33"/>
    <externalReference r:id="rId34"/>
    <externalReference r:id="rId35"/>
  </externalReferences>
  <definedNames>
    <definedName name="_1Excel_BuiltIn_Print_Area_34_1" localSheetId="22">#REF!</definedName>
    <definedName name="_2Excel_BuiltIn_Print_Area_34_1" localSheetId="23">#REF!</definedName>
    <definedName name="_3Excel_BuiltIn_Print_Area_34_1" localSheetId="24">#REF!</definedName>
    <definedName name="_3Excel_BuiltIn_Print_Area_34_1" localSheetId="25">#REF!</definedName>
    <definedName name="_4Excel_BuiltIn_Print_Area_34_1">#REF!</definedName>
    <definedName name="Excel_BuiltIn_Print_Area_100_1" localSheetId="6">#REF!</definedName>
    <definedName name="Excel_BuiltIn_Print_Area_100_1" localSheetId="5">#REF!</definedName>
    <definedName name="Excel_BuiltIn_Print_Area_100_1" localSheetId="9">#REF!</definedName>
    <definedName name="Excel_BuiltIn_Print_Area_100_1" localSheetId="8">#REF!</definedName>
    <definedName name="Excel_BuiltIn_Print_Area_100_1" localSheetId="17">#REF!</definedName>
    <definedName name="Excel_BuiltIn_Print_Area_100_1" localSheetId="19">#REF!</definedName>
    <definedName name="Excel_BuiltIn_Print_Area_100_1" localSheetId="21">#REF!</definedName>
    <definedName name="Excel_BuiltIn_Print_Area_100_1" localSheetId="23">#REF!</definedName>
    <definedName name="Excel_BuiltIn_Print_Area_100_1" localSheetId="24">#REF!</definedName>
    <definedName name="Excel_BuiltIn_Print_Area_100_1" localSheetId="25">#REF!</definedName>
    <definedName name="Excel_BuiltIn_Print_Area_100_1">#REF!</definedName>
    <definedName name="Excel_BuiltIn_Print_Area_109_1" localSheetId="18">'15_ Önk+PH_beruh '!$A$13:$D$238</definedName>
    <definedName name="Excel_BuiltIn_Print_Area_109_1" localSheetId="6">#REF!</definedName>
    <definedName name="Excel_BuiltIn_Print_Area_109_1" localSheetId="5">#REF!</definedName>
    <definedName name="Excel_BuiltIn_Print_Area_109_1" localSheetId="9">#REF!</definedName>
    <definedName name="Excel_BuiltIn_Print_Area_109_1" localSheetId="8">#REF!</definedName>
    <definedName name="Excel_BuiltIn_Print_Area_109_1" localSheetId="17">#REF!</definedName>
    <definedName name="Excel_BuiltIn_Print_Area_109_1" localSheetId="19">#REF!</definedName>
    <definedName name="Excel_BuiltIn_Print_Area_109_1" localSheetId="21">#REF!</definedName>
    <definedName name="Excel_BuiltIn_Print_Area_109_1" localSheetId="22">#REF!</definedName>
    <definedName name="Excel_BuiltIn_Print_Area_109_1" localSheetId="23">#REF!</definedName>
    <definedName name="Excel_BuiltIn_Print_Area_109_1" localSheetId="24">#REF!</definedName>
    <definedName name="Excel_BuiltIn_Print_Area_109_1" localSheetId="25">#REF!</definedName>
    <definedName name="Excel_BuiltIn_Print_Area_109_1">#REF!</definedName>
    <definedName name="Excel_BuiltIn_Print_Area_111" localSheetId="6">#REF!</definedName>
    <definedName name="Excel_BuiltIn_Print_Area_111" localSheetId="5">#REF!</definedName>
    <definedName name="Excel_BuiltIn_Print_Area_111" localSheetId="9">#REF!</definedName>
    <definedName name="Excel_BuiltIn_Print_Area_111" localSheetId="8">#REF!</definedName>
    <definedName name="Excel_BuiltIn_Print_Area_111" localSheetId="17">#REF!</definedName>
    <definedName name="Excel_BuiltIn_Print_Area_111" localSheetId="19">#REF!</definedName>
    <definedName name="Excel_BuiltIn_Print_Area_111" localSheetId="21">#REF!</definedName>
    <definedName name="Excel_BuiltIn_Print_Area_111">#REF!</definedName>
    <definedName name="Excel_BuiltIn_Print_Area_14_1" localSheetId="18">#REF!</definedName>
    <definedName name="Excel_BuiltIn_Print_Area_14_1" localSheetId="17">#REF!</definedName>
    <definedName name="Excel_BuiltIn_Print_Area_14_1" localSheetId="19">#REF!</definedName>
    <definedName name="Excel_BuiltIn_Print_Area_14_1" localSheetId="21">#REF!</definedName>
    <definedName name="Excel_BuiltIn_Print_Area_14_1" localSheetId="23">#REF!</definedName>
    <definedName name="Excel_BuiltIn_Print_Area_14_1" localSheetId="24">#REF!</definedName>
    <definedName name="Excel_BuiltIn_Print_Area_14_1" localSheetId="25">#REF!</definedName>
    <definedName name="Excel_BuiltIn_Print_Area_14_1" localSheetId="0">#REF!</definedName>
    <definedName name="Excel_BuiltIn_Print_Area_14_1" localSheetId="15">#REF!</definedName>
    <definedName name="Excel_BuiltIn_Print_Area_14_1" localSheetId="16">#REF!</definedName>
    <definedName name="Excel_BuiltIn_Print_Area_14_1">#REF!</definedName>
    <definedName name="Excel_BuiltIn_Print_Area_14_1_1" localSheetId="18">#REF!</definedName>
    <definedName name="Excel_BuiltIn_Print_Area_14_1_1" localSheetId="17">#REF!</definedName>
    <definedName name="Excel_BuiltIn_Print_Area_14_1_1" localSheetId="19">#REF!</definedName>
    <definedName name="Excel_BuiltIn_Print_Area_14_1_1" localSheetId="21">#REF!</definedName>
    <definedName name="Excel_BuiltIn_Print_Area_14_1_1" localSheetId="23">#REF!</definedName>
    <definedName name="Excel_BuiltIn_Print_Area_14_1_1" localSheetId="24">#REF!</definedName>
    <definedName name="Excel_BuiltIn_Print_Area_14_1_1" localSheetId="25">#REF!</definedName>
    <definedName name="Excel_BuiltIn_Print_Area_14_1_1" localSheetId="0">#REF!</definedName>
    <definedName name="Excel_BuiltIn_Print_Area_14_1_1" localSheetId="15">#REF!</definedName>
    <definedName name="Excel_BuiltIn_Print_Area_14_1_1" localSheetId="16">#REF!</definedName>
    <definedName name="Excel_BuiltIn_Print_Area_14_1_1">#REF!</definedName>
    <definedName name="Excel_BuiltIn_Print_Area_2_1" localSheetId="21">#REF!</definedName>
    <definedName name="Excel_BuiltIn_Print_Area_2_1" localSheetId="23">#REF!</definedName>
    <definedName name="Excel_BuiltIn_Print_Area_2_1" localSheetId="24">#REF!</definedName>
    <definedName name="Excel_BuiltIn_Print_Area_2_1" localSheetId="25">#REF!</definedName>
    <definedName name="Excel_BuiltIn_Print_Area_2_1">#REF!</definedName>
    <definedName name="Excel_BuiltIn_Print_Area_29_1" localSheetId="18">#REF!</definedName>
    <definedName name="Excel_BuiltIn_Print_Area_29_1" localSheetId="17">#REF!</definedName>
    <definedName name="Excel_BuiltIn_Print_Area_29_1" localSheetId="19">#REF!</definedName>
    <definedName name="Excel_BuiltIn_Print_Area_29_1" localSheetId="21">#REF!</definedName>
    <definedName name="Excel_BuiltIn_Print_Area_29_1" localSheetId="23">#REF!</definedName>
    <definedName name="Excel_BuiltIn_Print_Area_29_1" localSheetId="24">#REF!</definedName>
    <definedName name="Excel_BuiltIn_Print_Area_29_1" localSheetId="25">#REF!</definedName>
    <definedName name="Excel_BuiltIn_Print_Area_29_1" localSheetId="0">#REF!</definedName>
    <definedName name="Excel_BuiltIn_Print_Area_29_1" localSheetId="15">#REF!</definedName>
    <definedName name="Excel_BuiltIn_Print_Area_29_1" localSheetId="16">#REF!</definedName>
    <definedName name="Excel_BuiltIn_Print_Area_29_1" localSheetId="1">#REF!</definedName>
    <definedName name="Excel_BuiltIn_Print_Area_29_1" localSheetId="2">#REF!</definedName>
    <definedName name="Excel_BuiltIn_Print_Area_29_1">#REF!</definedName>
    <definedName name="Excel_BuiltIn_Print_Area_29_1_1" localSheetId="18">#REF!</definedName>
    <definedName name="Excel_BuiltIn_Print_Area_29_1_1" localSheetId="17">#REF!</definedName>
    <definedName name="Excel_BuiltIn_Print_Area_29_1_1" localSheetId="19">#REF!</definedName>
    <definedName name="Excel_BuiltIn_Print_Area_29_1_1" localSheetId="21">#REF!</definedName>
    <definedName name="Excel_BuiltIn_Print_Area_29_1_1" localSheetId="23">#REF!</definedName>
    <definedName name="Excel_BuiltIn_Print_Area_29_1_1" localSheetId="24">#REF!</definedName>
    <definedName name="Excel_BuiltIn_Print_Area_29_1_1" localSheetId="25">#REF!</definedName>
    <definedName name="Excel_BuiltIn_Print_Area_29_1_1" localSheetId="0">#REF!</definedName>
    <definedName name="Excel_BuiltIn_Print_Area_29_1_1" localSheetId="15">#REF!</definedName>
    <definedName name="Excel_BuiltIn_Print_Area_29_1_1" localSheetId="16">#REF!</definedName>
    <definedName name="Excel_BuiltIn_Print_Area_29_1_1" localSheetId="1">#REF!</definedName>
    <definedName name="Excel_BuiltIn_Print_Area_29_1_1" localSheetId="2">#REF!</definedName>
    <definedName name="Excel_BuiltIn_Print_Area_29_1_1">#REF!</definedName>
    <definedName name="Excel_BuiltIn_Print_Area_30_1" localSheetId="21">#REF!</definedName>
    <definedName name="Excel_BuiltIn_Print_Area_30_1" localSheetId="23">#REF!</definedName>
    <definedName name="Excel_BuiltIn_Print_Area_30_1" localSheetId="24">#REF!</definedName>
    <definedName name="Excel_BuiltIn_Print_Area_30_1" localSheetId="25">#REF!</definedName>
    <definedName name="Excel_BuiltIn_Print_Area_30_1">#REF!</definedName>
    <definedName name="Excel_BuiltIn_Print_Area_31_1" localSheetId="18">#REF!</definedName>
    <definedName name="Excel_BuiltIn_Print_Area_31_1" localSheetId="17">#REF!</definedName>
    <definedName name="Excel_BuiltIn_Print_Area_31_1" localSheetId="19">#REF!</definedName>
    <definedName name="Excel_BuiltIn_Print_Area_31_1" localSheetId="21">#REF!</definedName>
    <definedName name="Excel_BuiltIn_Print_Area_31_1" localSheetId="22">#REF!</definedName>
    <definedName name="Excel_BuiltIn_Print_Area_31_1" localSheetId="23">#REF!</definedName>
    <definedName name="Excel_BuiltIn_Print_Area_31_1" localSheetId="24">#REF!</definedName>
    <definedName name="Excel_BuiltIn_Print_Area_31_1" localSheetId="25">#REF!</definedName>
    <definedName name="Excel_BuiltIn_Print_Area_31_1" localSheetId="0">#REF!</definedName>
    <definedName name="Excel_BuiltIn_Print_Area_31_1" localSheetId="15">#REF!</definedName>
    <definedName name="Excel_BuiltIn_Print_Area_31_1" localSheetId="16">#REF!</definedName>
    <definedName name="Excel_BuiltIn_Print_Area_31_1" localSheetId="1">#REF!</definedName>
    <definedName name="Excel_BuiltIn_Print_Area_31_1" localSheetId="2">#REF!</definedName>
    <definedName name="Excel_BuiltIn_Print_Area_31_1">#REF!</definedName>
    <definedName name="Excel_BuiltIn_Print_Area_32_1" localSheetId="18">#REF!</definedName>
    <definedName name="Excel_BuiltIn_Print_Area_32_1" localSheetId="17">#REF!</definedName>
    <definedName name="Excel_BuiltIn_Print_Area_32_1" localSheetId="19">#REF!</definedName>
    <definedName name="Excel_BuiltIn_Print_Area_32_1" localSheetId="21">#REF!</definedName>
    <definedName name="Excel_BuiltIn_Print_Area_32_1" localSheetId="23">#REF!</definedName>
    <definedName name="Excel_BuiltIn_Print_Area_32_1" localSheetId="24">#REF!</definedName>
    <definedName name="Excel_BuiltIn_Print_Area_32_1" localSheetId="25">#REF!</definedName>
    <definedName name="Excel_BuiltIn_Print_Area_32_1" localSheetId="0">#REF!</definedName>
    <definedName name="Excel_BuiltIn_Print_Area_32_1" localSheetId="15">#REF!</definedName>
    <definedName name="Excel_BuiltIn_Print_Area_32_1" localSheetId="16">#REF!</definedName>
    <definedName name="Excel_BuiltIn_Print_Area_32_1" localSheetId="1">#REF!</definedName>
    <definedName name="Excel_BuiltIn_Print_Area_32_1" localSheetId="2">#REF!</definedName>
    <definedName name="Excel_BuiltIn_Print_Area_32_1">#REF!</definedName>
    <definedName name="Excel_BuiltIn_Print_Area_33_1" localSheetId="21">#REF!</definedName>
    <definedName name="Excel_BuiltIn_Print_Area_33_1" localSheetId="23">#REF!</definedName>
    <definedName name="Excel_BuiltIn_Print_Area_33_1" localSheetId="24">#REF!</definedName>
    <definedName name="Excel_BuiltIn_Print_Area_33_1" localSheetId="25">#REF!</definedName>
    <definedName name="Excel_BuiltIn_Print_Area_33_1">#REF!</definedName>
    <definedName name="Excel_BuiltIn_Print_Area_341">#REF!</definedName>
    <definedName name="Excel_BuiltIn_Print_Area_34_1" localSheetId="18">#REF!</definedName>
    <definedName name="Excel_BuiltIn_Print_Area_34_1" localSheetId="17">#REF!</definedName>
    <definedName name="Excel_BuiltIn_Print_Area_34_1" localSheetId="19">#REF!</definedName>
    <definedName name="Excel_BuiltIn_Print_Area_34_1" localSheetId="21">#REF!</definedName>
    <definedName name="Excel_BuiltIn_Print_Area_34_1" localSheetId="22">#REF!</definedName>
    <definedName name="Excel_BuiltIn_Print_Area_34_1" localSheetId="23">#REF!</definedName>
    <definedName name="Excel_BuiltIn_Print_Area_34_1" localSheetId="24">#REF!</definedName>
    <definedName name="Excel_BuiltIn_Print_Area_34_1" localSheetId="25">#REF!</definedName>
    <definedName name="Excel_BuiltIn_Print_Area_34_1" localSheetId="0">#REF!</definedName>
    <definedName name="Excel_BuiltIn_Print_Area_34_1" localSheetId="15">#REF!</definedName>
    <definedName name="Excel_BuiltIn_Print_Area_34_1" localSheetId="16">#REF!</definedName>
    <definedName name="Excel_BuiltIn_Print_Area_34_1" localSheetId="1">#REF!</definedName>
    <definedName name="Excel_BuiltIn_Print_Area_34_1" localSheetId="2">#REF!</definedName>
    <definedName name="Excel_BuiltIn_Print_Area_34_1">#REF!</definedName>
    <definedName name="Excel_BuiltIn_Print_Area_35_1" localSheetId="21">#REF!</definedName>
    <definedName name="Excel_BuiltIn_Print_Area_35_1" localSheetId="23">#REF!</definedName>
    <definedName name="Excel_BuiltIn_Print_Area_35_1" localSheetId="24">#REF!</definedName>
    <definedName name="Excel_BuiltIn_Print_Area_35_1" localSheetId="25">#REF!</definedName>
    <definedName name="Excel_BuiltIn_Print_Area_35_1">#REF!</definedName>
    <definedName name="Excel_BuiltIn_Print_Area_36_1" localSheetId="21">#REF!</definedName>
    <definedName name="Excel_BuiltIn_Print_Area_36_1" localSheetId="23">#REF!</definedName>
    <definedName name="Excel_BuiltIn_Print_Area_36_1" localSheetId="24">#REF!</definedName>
    <definedName name="Excel_BuiltIn_Print_Area_36_1" localSheetId="25">#REF!</definedName>
    <definedName name="Excel_BuiltIn_Print_Area_36_1">#REF!</definedName>
    <definedName name="Excel_BuiltIn_Print_Area_37_1" localSheetId="18">#REF!</definedName>
    <definedName name="Excel_BuiltIn_Print_Area_37_1" localSheetId="17">#REF!</definedName>
    <definedName name="Excel_BuiltIn_Print_Area_37_1" localSheetId="19">#REF!</definedName>
    <definedName name="Excel_BuiltIn_Print_Area_37_1" localSheetId="21">#REF!</definedName>
    <definedName name="Excel_BuiltIn_Print_Area_37_1" localSheetId="23">#REF!</definedName>
    <definedName name="Excel_BuiltIn_Print_Area_37_1" localSheetId="24">#REF!</definedName>
    <definedName name="Excel_BuiltIn_Print_Area_37_1" localSheetId="25">#REF!</definedName>
    <definedName name="Excel_BuiltIn_Print_Area_37_1" localSheetId="0">#REF!</definedName>
    <definedName name="Excel_BuiltIn_Print_Area_37_1" localSheetId="15">#REF!</definedName>
    <definedName name="Excel_BuiltIn_Print_Area_37_1" localSheetId="16">#REF!</definedName>
    <definedName name="Excel_BuiltIn_Print_Area_37_1" localSheetId="1">#REF!</definedName>
    <definedName name="Excel_BuiltIn_Print_Area_37_1" localSheetId="2">#REF!</definedName>
    <definedName name="Excel_BuiltIn_Print_Area_37_1">#REF!</definedName>
    <definedName name="Excel_BuiltIn_Print_Area_38_1" localSheetId="21">#REF!</definedName>
    <definedName name="Excel_BuiltIn_Print_Area_38_1" localSheetId="23">#REF!</definedName>
    <definedName name="Excel_BuiltIn_Print_Area_38_1" localSheetId="24">#REF!</definedName>
    <definedName name="Excel_BuiltIn_Print_Area_38_1" localSheetId="25">#REF!</definedName>
    <definedName name="Excel_BuiltIn_Print_Area_38_1">#REF!</definedName>
    <definedName name="Excel_BuiltIn_Print_Area_4_1" localSheetId="21">#REF!</definedName>
    <definedName name="Excel_BuiltIn_Print_Area_4_1" localSheetId="23">#REF!</definedName>
    <definedName name="Excel_BuiltIn_Print_Area_4_1" localSheetId="24">#REF!</definedName>
    <definedName name="Excel_BuiltIn_Print_Area_4_1" localSheetId="25">#REF!</definedName>
    <definedName name="Excel_BuiltIn_Print_Area_4_1">#REF!</definedName>
    <definedName name="Excel_BuiltIn_Print_Area_41_1" localSheetId="21">#REF!</definedName>
    <definedName name="Excel_BuiltIn_Print_Area_41_1" localSheetId="23">#REF!</definedName>
    <definedName name="Excel_BuiltIn_Print_Area_41_1" localSheetId="24">#REF!</definedName>
    <definedName name="Excel_BuiltIn_Print_Area_41_1" localSheetId="25">#REF!</definedName>
    <definedName name="Excel_BuiltIn_Print_Area_41_1">#REF!</definedName>
    <definedName name="Excel_BuiltIn_Print_Area_44_1" localSheetId="21">#REF!</definedName>
    <definedName name="Excel_BuiltIn_Print_Area_44_1" localSheetId="23">#REF!</definedName>
    <definedName name="Excel_BuiltIn_Print_Area_44_1" localSheetId="24">#REF!</definedName>
    <definedName name="Excel_BuiltIn_Print_Area_44_1" localSheetId="25">#REF!</definedName>
    <definedName name="Excel_BuiltIn_Print_Area_44_1">#REF!</definedName>
    <definedName name="Excel_BuiltIn_Print_Area_5_1" localSheetId="21">#REF!</definedName>
    <definedName name="Excel_BuiltIn_Print_Area_5_1" localSheetId="23">#REF!</definedName>
    <definedName name="Excel_BuiltIn_Print_Area_5_1" localSheetId="24">#REF!</definedName>
    <definedName name="Excel_BuiltIn_Print_Area_5_1" localSheetId="25">#REF!</definedName>
    <definedName name="Excel_BuiltIn_Print_Area_5_1">#REF!</definedName>
    <definedName name="Excel_BuiltIn_Print_Area_50_1" localSheetId="21">#REF!</definedName>
    <definedName name="Excel_BuiltIn_Print_Area_50_1" localSheetId="23">#REF!</definedName>
    <definedName name="Excel_BuiltIn_Print_Area_50_1" localSheetId="24">#REF!</definedName>
    <definedName name="Excel_BuiltIn_Print_Area_50_1" localSheetId="25">#REF!</definedName>
    <definedName name="Excel_BuiltIn_Print_Area_50_1">#REF!</definedName>
    <definedName name="Excel_BuiltIn_Print_Area_55_1" localSheetId="18">#REF!</definedName>
    <definedName name="Excel_BuiltIn_Print_Area_55_1" localSheetId="17">#REF!</definedName>
    <definedName name="Excel_BuiltIn_Print_Area_55_1" localSheetId="19">#REF!</definedName>
    <definedName name="Excel_BuiltIn_Print_Area_55_1" localSheetId="21">#REF!</definedName>
    <definedName name="Excel_BuiltIn_Print_Area_55_1" localSheetId="22">#REF!</definedName>
    <definedName name="Excel_BuiltIn_Print_Area_55_1" localSheetId="23">#REF!</definedName>
    <definedName name="Excel_BuiltIn_Print_Area_55_1" localSheetId="24">#REF!</definedName>
    <definedName name="Excel_BuiltIn_Print_Area_55_1" localSheetId="25">#REF!</definedName>
    <definedName name="Excel_BuiltIn_Print_Area_55_1" localSheetId="0">#REF!</definedName>
    <definedName name="Excel_BuiltIn_Print_Area_55_1" localSheetId="15">#REF!</definedName>
    <definedName name="Excel_BuiltIn_Print_Area_55_1" localSheetId="16">#REF!</definedName>
    <definedName name="Excel_BuiltIn_Print_Area_55_1" localSheetId="1">#REF!</definedName>
    <definedName name="Excel_BuiltIn_Print_Area_55_1" localSheetId="2">#REF!</definedName>
    <definedName name="Excel_BuiltIn_Print_Area_55_1">#REF!</definedName>
    <definedName name="Excel_BuiltIn_Print_Area_61_1" localSheetId="21">#REF!</definedName>
    <definedName name="Excel_BuiltIn_Print_Area_61_1" localSheetId="23">#REF!</definedName>
    <definedName name="Excel_BuiltIn_Print_Area_61_1" localSheetId="24">#REF!</definedName>
    <definedName name="Excel_BuiltIn_Print_Area_61_1" localSheetId="25">#REF!</definedName>
    <definedName name="Excel_BuiltIn_Print_Area_61_1">#REF!</definedName>
    <definedName name="Excel_BuiltIn_Print_Area_64_1" localSheetId="21">#REF!</definedName>
    <definedName name="Excel_BuiltIn_Print_Area_64_1" localSheetId="23">#REF!</definedName>
    <definedName name="Excel_BuiltIn_Print_Area_64_1" localSheetId="24">#REF!</definedName>
    <definedName name="Excel_BuiltIn_Print_Area_64_1" localSheetId="25">#REF!</definedName>
    <definedName name="Excel_BuiltIn_Print_Area_64_1">#REF!</definedName>
    <definedName name="Excel_BuiltIn_Print_Area_91_1" localSheetId="21">#REF!</definedName>
    <definedName name="Excel_BuiltIn_Print_Area_91_1" localSheetId="23">#REF!</definedName>
    <definedName name="Excel_BuiltIn_Print_Area_91_1" localSheetId="24">#REF!</definedName>
    <definedName name="Excel_BuiltIn_Print_Area_91_1" localSheetId="25">#REF!</definedName>
    <definedName name="Excel_BuiltIn_Print_Area_91_1">#REF!</definedName>
    <definedName name="_xlnm.Print_Titles" localSheetId="18">'15_ Önk+PH_beruh '!$9:$12</definedName>
    <definedName name="_xlnm.Print_Titles" localSheetId="3">'4.tábla'!$A:$B</definedName>
    <definedName name="_xlnm.Print_Titles" localSheetId="4">'5.tábla'!$A:$B</definedName>
    <definedName name="_xlnm.Print_Titles" localSheetId="17">'INT_14_tábla '!$6:$9</definedName>
    <definedName name="_xlnm.Print_Titles" localSheetId="19">'INT_15_tábla'!$5:$8</definedName>
    <definedName name="_xlnm.Print_Titles" localSheetId="25">'pm.ÖM'!$A:$B</definedName>
    <definedName name="_xlnm.Print_Titles" localSheetId="16">'T_14_Önk+PH_felúj_'!$9:$11</definedName>
    <definedName name="_xlnm.Print_Area" localSheetId="18">'15_ Önk+PH_beruh '!$A$2:$F$238</definedName>
    <definedName name="_xlnm.Print_Area" localSheetId="3">'4.tábla'!$A$2:$DQ$42</definedName>
    <definedName name="_xlnm.Print_Area" localSheetId="4">'5.tábla'!$A$2:$DQ$96</definedName>
    <definedName name="_xlnm.Print_Area" localSheetId="6">'6_sz_tábla B.'!$A$1:$T$50</definedName>
    <definedName name="_xlnm.Print_Area" localSheetId="5">'6_sz_tábla K. '!$A$1:$S$50</definedName>
    <definedName name="_xlnm.Print_Area" localSheetId="9">'8_sz_tábla B. '!$A$1:$R$48</definedName>
    <definedName name="_xlnm.Print_Area" localSheetId="8">'8_sz_tábla K. '!$A$1:$Q$48</definedName>
    <definedName name="_xlnm.Print_Area" localSheetId="28">'cél,címzett'!$A$1:$O$29</definedName>
    <definedName name="_xlnm.Print_Area" localSheetId="17">'INT_14_tábla '!$A$6:$F$79</definedName>
    <definedName name="_xlnm.Print_Area" localSheetId="19">'INT_15_tábla'!$A$5:$F$81</definedName>
    <definedName name="_xlnm.Print_Area" localSheetId="26">'kötött normatív'!$A$1:$M$52</definedName>
    <definedName name="_xlnm.Print_Area" localSheetId="27">'központosított'!$A$1:$I$35</definedName>
    <definedName name="_xlnm.Print_Area" localSheetId="21">'mérleg'!$A$1:$J$50</definedName>
    <definedName name="_xlnm.Print_Area" localSheetId="22">'pforg'!$A$2:$E$60</definedName>
    <definedName name="_xlnm.Print_Area" localSheetId="23">'pm.'!$A$1:$F$35</definedName>
    <definedName name="_xlnm.Print_Area" localSheetId="24">'pm.kimutatás'!$A$1:$H$39</definedName>
    <definedName name="_xlnm.Print_Area" localSheetId="25">'pm.ÖM'!$A$1:$U$41</definedName>
    <definedName name="_xlnm.Print_Area" localSheetId="12">'T.10.műk.bev.'!$A$2:$F$55</definedName>
    <definedName name="_xlnm.Print_Area" localSheetId="13">'T.11.felh.peszk.átad.'!$A$2:$F$75</definedName>
    <definedName name="_xlnm.Print_Area" localSheetId="14">'T.12.felhalm.bev.'!$A$1:$F$36</definedName>
    <definedName name="_xlnm.Print_Area" localSheetId="11">'T.9.műk.peszk.kiad'!$A$2:$F$69</definedName>
    <definedName name="_xlnm.Print_Area" localSheetId="0">'T_1_mérleg'!$A$2:$O$51</definedName>
    <definedName name="_xlnm.Print_Area" localSheetId="15">'T_13_kölcsönök'!$A$1:$G$46</definedName>
    <definedName name="_xlnm.Print_Area" localSheetId="16">'T_14_Önk+PH_felúj_'!$A$2:$F$106</definedName>
    <definedName name="_xlnm.Print_Area" localSheetId="1">'T_2_kiadás_2013'!$A$2:$F$39</definedName>
    <definedName name="_xlnm.Print_Area" localSheetId="2">'T_3_bevétel_2013'!$A$2:$F$94</definedName>
    <definedName name="pm" localSheetId="18">#REF!</definedName>
    <definedName name="pm" localSheetId="17">#REF!</definedName>
    <definedName name="pm" localSheetId="19">#REF!</definedName>
    <definedName name="pm" localSheetId="21">#REF!</definedName>
    <definedName name="pm" localSheetId="0">#REF!</definedName>
    <definedName name="pm" localSheetId="15">#REF!</definedName>
    <definedName name="pm" localSheetId="16">#REF!</definedName>
    <definedName name="pm">#REF!</definedName>
    <definedName name="szabadság.">#REF!</definedName>
    <definedName name="uuuuu">#REF!</definedName>
  </definedNames>
  <calcPr fullCalcOnLoad="1"/>
</workbook>
</file>

<file path=xl/comments1.xml><?xml version="1.0" encoding="utf-8"?>
<comments xmlns="http://schemas.openxmlformats.org/spreadsheetml/2006/main">
  <authors>
    <author>Balog L?szl?n?</author>
  </authors>
  <commentList>
    <comment ref="C32" authorId="0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BEÍRT SZÁM!</t>
        </r>
      </text>
    </comment>
    <comment ref="D32" authorId="0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BEÍRT SZÁM!</t>
        </r>
      </text>
    </comment>
    <comment ref="E32" authorId="0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BEÍRT SZÁM!</t>
        </r>
      </text>
    </comment>
  </commentList>
</comments>
</file>

<file path=xl/comments23.xml><?xml version="1.0" encoding="utf-8"?>
<comments xmlns="http://schemas.openxmlformats.org/spreadsheetml/2006/main">
  <authors>
    <author>Balog L?szl?n? Zsuzsa</author>
  </authors>
  <commentList>
    <comment ref="D14" authorId="0">
      <text>
        <r>
          <rPr>
            <b/>
            <sz val="9"/>
            <rFont val="Segoe UI"/>
            <family val="2"/>
          </rPr>
          <t>Balog Lászlóné Zsuzsa:</t>
        </r>
        <r>
          <rPr>
            <sz val="9"/>
            <rFont val="Segoe UI"/>
            <family val="2"/>
          </rPr>
          <t xml:space="preserve">
KGR-ben: 522.936 Kül.: 157 ?</t>
        </r>
      </text>
    </comment>
  </commentList>
</comments>
</file>

<file path=xl/comments25.xml><?xml version="1.0" encoding="utf-8"?>
<comments xmlns="http://schemas.openxmlformats.org/spreadsheetml/2006/main">
  <authors>
    <author>Balogh</author>
  </authors>
  <commentList>
    <comment ref="A1" authorId="0">
      <text>
        <r>
          <rPr>
            <b/>
            <sz val="8"/>
            <rFont val="Tahoma"/>
            <family val="2"/>
          </rPr>
          <t>Balogh:</t>
        </r>
        <r>
          <rPr>
            <sz val="8"/>
            <rFont val="Tahoma"/>
            <family val="2"/>
          </rPr>
          <t xml:space="preserve">
29 űrlapról intézményenként és PH </t>
        </r>
      </text>
    </comment>
  </commentList>
</comments>
</file>

<file path=xl/comments3.xml><?xml version="1.0" encoding="utf-8"?>
<comments xmlns="http://schemas.openxmlformats.org/spreadsheetml/2006/main">
  <authors>
    <author>Balog L?szl?n?</author>
  </authors>
  <commentList>
    <comment ref="D16" authorId="0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-4000 - Várakozóhely megváltás - rendeleti 3. tábla miatt</t>
        </r>
      </text>
    </comment>
    <comment ref="E16" authorId="0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-4000 - Várakozóhely megváltás - 3. tábla miatt</t>
        </r>
      </text>
    </comment>
  </commentList>
</comments>
</file>

<file path=xl/comments4.xml><?xml version="1.0" encoding="utf-8"?>
<comments xmlns="http://schemas.openxmlformats.org/spreadsheetml/2006/main">
  <authors>
    <author>Balog L?szl?n?</author>
  </authors>
  <commentList>
    <comment ref="X39" authorId="0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Szakfeladat nélküli
</t>
        </r>
      </text>
    </comment>
  </commentList>
</comments>
</file>

<file path=xl/comments5.xml><?xml version="1.0" encoding="utf-8"?>
<comments xmlns="http://schemas.openxmlformats.org/spreadsheetml/2006/main">
  <authors>
    <author>Balogh</author>
    <author>Balog L?szl?n?</author>
    <author>Balog L?szl?n? Zsuzsa</author>
  </authors>
  <commentList>
    <comment ref="CR60" authorId="0">
      <text>
        <r>
          <rPr>
            <b/>
            <sz val="8"/>
            <rFont val="Tahoma"/>
            <family val="2"/>
          </rPr>
          <t>Balogh:</t>
        </r>
        <r>
          <rPr>
            <sz val="8"/>
            <rFont val="Tahoma"/>
            <family val="2"/>
          </rPr>
          <t xml:space="preserve">
Ez az év közben vásárolt kincstárjegyek beváltása 2925
751999 szakfeladaton</t>
        </r>
      </text>
    </comment>
    <comment ref="BG15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-4000 - Várakozóhely megváltás - 3. tábla miatt
</t>
        </r>
      </text>
    </comment>
    <comment ref="BJ15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-4000 - Várakozóhely megváltás - 3. tábla miatt</t>
        </r>
      </text>
    </comment>
    <comment ref="DO15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-4000 - Várakozóhely megváltás - 3. tábla miatt</t>
        </r>
      </text>
    </comment>
    <comment ref="DC51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ez mind előző évi maradvány átvétel!!!</t>
        </r>
      </text>
    </comment>
    <comment ref="DI51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ez mind előző évi maradvány átvétel!!!</t>
        </r>
      </text>
    </comment>
    <comment ref="DI49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ebből 30.913 eFt előző évi maradvány átvétel!!!</t>
        </r>
      </text>
    </comment>
    <comment ref="DC49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-296331 -  előző évi maradvány átvétel!!!</t>
        </r>
      </text>
    </comment>
    <comment ref="BH15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-4000 - Várakozóhely megváltás - 3. tábla miatt</t>
        </r>
      </text>
    </comment>
    <comment ref="CR15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+1400 VÁRAKOZÓHELY soron!!
</t>
        </r>
      </text>
    </comment>
    <comment ref="CQ15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+1400 VÁRAKOZÓHELY soron!!</t>
        </r>
      </text>
    </comment>
    <comment ref="DD49" authorId="2">
      <text>
        <r>
          <rPr>
            <b/>
            <sz val="9"/>
            <rFont val="Segoe UI"/>
            <family val="2"/>
          </rPr>
          <t>Balog Lászlóné Zsuzsa:</t>
        </r>
        <r>
          <rPr>
            <sz val="9"/>
            <rFont val="Segoe UI"/>
            <family val="2"/>
          </rPr>
          <t xml:space="preserve">
-296.331 eFt előző évi maradvány átvétel/műk.
</t>
        </r>
      </text>
    </comment>
    <comment ref="DD51" authorId="1">
      <text>
        <r>
          <rPr>
            <b/>
            <sz val="8"/>
            <rFont val="Tahoma"/>
            <family val="2"/>
          </rPr>
          <t>Balog Lászlóné:</t>
        </r>
        <r>
          <rPr>
            <sz val="8"/>
            <rFont val="Tahoma"/>
            <family val="2"/>
          </rPr>
          <t xml:space="preserve">
ez mind előző évi maradvány átvétel!!!</t>
        </r>
      </text>
    </comment>
    <comment ref="CR17" authorId="2">
      <text>
        <r>
          <rPr>
            <b/>
            <sz val="9"/>
            <rFont val="Segoe UI"/>
            <family val="2"/>
          </rPr>
          <t>Balog Lászlóné Zsuzsa:</t>
        </r>
        <r>
          <rPr>
            <sz val="9"/>
            <rFont val="Segoe UI"/>
            <family val="2"/>
          </rPr>
          <t xml:space="preserve">
226.032 + 32.655 = 258.687 - 258.756 = 69 többlet Ez a 085 IK árfolyamnyeresége </t>
        </r>
      </text>
    </comment>
  </commentList>
</comments>
</file>

<file path=xl/sharedStrings.xml><?xml version="1.0" encoding="utf-8"?>
<sst xmlns="http://schemas.openxmlformats.org/spreadsheetml/2006/main" count="2942" uniqueCount="1284">
  <si>
    <t>Bolyai</t>
  </si>
  <si>
    <t xml:space="preserve">Pénzforgalmi költségvetési bevételek és kiadások különbsége (36-13)
[költségvetési hiány (-), költségvetési többlet (+)]   </t>
  </si>
  <si>
    <t>Útigénybevételi díj</t>
  </si>
  <si>
    <t>Pótlékok és bírságok</t>
  </si>
  <si>
    <t>előirányzat</t>
  </si>
  <si>
    <t>III.</t>
  </si>
  <si>
    <t>Felújítás</t>
  </si>
  <si>
    <t>Iparűzési adó</t>
  </si>
  <si>
    <t>a.</t>
  </si>
  <si>
    <t>Keretek</t>
  </si>
  <si>
    <t>b.</t>
  </si>
  <si>
    <t xml:space="preserve">Közlekedési kiskorrekció </t>
  </si>
  <si>
    <t xml:space="preserve">Járdaépítés </t>
  </si>
  <si>
    <t xml:space="preserve">Műszaki előkészítés </t>
  </si>
  <si>
    <t xml:space="preserve">Útépítés </t>
  </si>
  <si>
    <t xml:space="preserve">Földutak szilárd burkolása </t>
  </si>
  <si>
    <t>Közterületi parkolóhelyek kialakítása zöldterület rendezésével</t>
  </si>
  <si>
    <t xml:space="preserve">Polgármesteri Hivatal bútorcsere </t>
  </si>
  <si>
    <t xml:space="preserve">Egyéb gép, berendezés </t>
  </si>
  <si>
    <t>Magyar Máltai Szeretetszolgálat - hajléktalan ellátásra</t>
  </si>
  <si>
    <t>Múzeum 1956 Emlékére Közhasznú Alapítvány</t>
  </si>
  <si>
    <t>c.</t>
  </si>
  <si>
    <t>Dologi kiadások</t>
  </si>
  <si>
    <t xml:space="preserve">Nyomtató vásárlás </t>
  </si>
  <si>
    <t xml:space="preserve">Beruházási közbeszerzések lebonyolítási díja </t>
  </si>
  <si>
    <t>Budapesti Szent Ferenc Kórház</t>
  </si>
  <si>
    <t>Testvérvárosi kapcsolatok</t>
  </si>
  <si>
    <t>Feladattal nem terhelt tartalék - Átmeneti időszak</t>
  </si>
  <si>
    <t>Menekültek lakhatási támogatása (BM-től)</t>
  </si>
  <si>
    <t>Pénzbeli gyermekvédelmi támogatás</t>
  </si>
  <si>
    <t xml:space="preserve">Elsõ lakáshoz jutók kölcsöne </t>
  </si>
  <si>
    <t>Hvölgyi-Kelemen u.kereszteződés közmű+hídszélesítés</t>
  </si>
  <si>
    <t>Központi karbantartási keret (intézményi hálózathoz)</t>
  </si>
  <si>
    <t>Települési  vízellátás</t>
  </si>
  <si>
    <t>II. Rákóczi Ferenc Gimnázium</t>
  </si>
  <si>
    <t>Hidegkút-Ófalui Római Katolikus Plébánia</t>
  </si>
  <si>
    <t>Krisztus Király Templomigazgatóság</t>
  </si>
  <si>
    <t xml:space="preserve">Pasaréti Páduai Szent Antal Plébánia </t>
  </si>
  <si>
    <t>Kabinet</t>
  </si>
  <si>
    <t>Kapisztrán Szent J. Lelkészség</t>
  </si>
  <si>
    <t>Nem önkormányzati oktatási intézmények  támogatása</t>
  </si>
  <si>
    <t>Megnevezés</t>
  </si>
  <si>
    <t>Remetekertvárosi Szentlélek Egyházközség</t>
  </si>
  <si>
    <t>Országúti Szent István Ferences Plébánia</t>
  </si>
  <si>
    <t>Hatósági jogkörhöz köthető működési bevételek</t>
  </si>
  <si>
    <t>Ingatlanértékesítések</t>
  </si>
  <si>
    <t>912,913,914</t>
  </si>
  <si>
    <t>942-947</t>
  </si>
  <si>
    <t xml:space="preserve">Mindösszesen: ( I. + II. ) </t>
  </si>
  <si>
    <t>Egyszeri adóhátralék</t>
  </si>
  <si>
    <t>eredeti</t>
  </si>
  <si>
    <t>1.5</t>
  </si>
  <si>
    <t>Támogatásértékű kiadások</t>
  </si>
  <si>
    <t>2.1</t>
  </si>
  <si>
    <t>2.2</t>
  </si>
  <si>
    <t>Államháztartáson kívüli pénzeszköz átadások</t>
  </si>
  <si>
    <t>3.1</t>
  </si>
  <si>
    <t>Vásárolt élelmezés</t>
  </si>
  <si>
    <t>ÓVODÁK ÖSSZESEN:</t>
  </si>
  <si>
    <t>E/ Tartalékok</t>
  </si>
  <si>
    <t>Átengedett központi adók</t>
  </si>
  <si>
    <t>Általános tartalék</t>
  </si>
  <si>
    <t xml:space="preserve">Működési  céltartalék </t>
  </si>
  <si>
    <t>Pénzforgalom nélküli kiadások</t>
  </si>
  <si>
    <t>Felhalmozási és tőke jellegű bevételek</t>
  </si>
  <si>
    <t>* Az előző évet érintő és a könyvekben tárgyévben rögzített módosítások</t>
  </si>
  <si>
    <t>Járóbeteg ellátás</t>
  </si>
  <si>
    <t>a)</t>
  </si>
  <si>
    <t>b)</t>
  </si>
  <si>
    <t>c)</t>
  </si>
  <si>
    <t>d)</t>
  </si>
  <si>
    <t>önkormányzati rendelethez</t>
  </si>
  <si>
    <t>(ezer forintban)</t>
  </si>
  <si>
    <t>( ± )</t>
  </si>
  <si>
    <t>Egyéb aktiv és passzív pénzügyi elszámolások
összevont záróegyenlege ( ± )</t>
  </si>
  <si>
    <t>Előző év(ek)ben képzett tartalékok maradványa (-)</t>
  </si>
  <si>
    <t>Munkaadókat terh. járulékok, szociális hozzájárulási adó</t>
  </si>
  <si>
    <t xml:space="preserve">Működési költségvetési kiadások </t>
  </si>
  <si>
    <t>Felhalmozási költségvetési kiadások</t>
  </si>
  <si>
    <t>Felhalmozási költségvetési bevételek</t>
  </si>
  <si>
    <t xml:space="preserve">Költségvetési kiadások összesen </t>
  </si>
  <si>
    <t xml:space="preserve">Költségvetési bevételek összesen </t>
  </si>
  <si>
    <t>Hiány belső finanszírozása</t>
  </si>
  <si>
    <t>Finanszírozási kiadások</t>
  </si>
  <si>
    <t>Finanszírozási bevételek</t>
  </si>
  <si>
    <t>Pénzmaradványt terhelő elvonások ( ± )</t>
  </si>
  <si>
    <t xml:space="preserve">  Tetőterek értékesítése</t>
  </si>
  <si>
    <t>Fénymásoló és kieg. vásárlás</t>
  </si>
  <si>
    <t>Hálózat építés</t>
  </si>
  <si>
    <t>Közterület lejegyzés utáni kártalanítás</t>
  </si>
  <si>
    <t>Alpolgármester saját kerete</t>
  </si>
  <si>
    <t xml:space="preserve">Működési tartalék </t>
  </si>
  <si>
    <t xml:space="preserve">Fejlesztések </t>
  </si>
  <si>
    <t>Egészségügyi Szolgálat eszközbeszerzése</t>
  </si>
  <si>
    <t>Céltartalék összesen ( a + b )</t>
  </si>
  <si>
    <t>16. sz. melléklet</t>
  </si>
  <si>
    <t xml:space="preserve">  Közös tulajdon megszüntetése miatt</t>
  </si>
  <si>
    <t>Önkormányzatok sajátos felhalmozási és tőkebevételei</t>
  </si>
  <si>
    <t>Önkormányzati lakások értékesítése</t>
  </si>
  <si>
    <t xml:space="preserve">  Bérlők részére</t>
  </si>
  <si>
    <t xml:space="preserve">  Bérlő nélküli lakások értékesítése</t>
  </si>
  <si>
    <t>Telekingatlan értékesítése</t>
  </si>
  <si>
    <t>Egyéb vagyoni értékű jog értékesítése</t>
  </si>
  <si>
    <t xml:space="preserve">   Önkormányzati többségű tulajdonú vállalkozástól kapott osztalék</t>
  </si>
  <si>
    <t xml:space="preserve">   Nem önkormányzati többségű tulajdonú vállalkozástól kapott osztalék</t>
  </si>
  <si>
    <t xml:space="preserve">Részesedések, részvények értékesítése </t>
  </si>
  <si>
    <t xml:space="preserve">Támogatásértékű működési bevétel Eü. Alaptól </t>
  </si>
  <si>
    <t>VÉGLEGESEN ÁTVETT PÉNZESZKÖZÖK</t>
  </si>
  <si>
    <t xml:space="preserve">   Helyi támogatás visszafizetése </t>
  </si>
  <si>
    <t xml:space="preserve">   Munkáltatói kölcsön </t>
  </si>
  <si>
    <t xml:space="preserve">   Tagi kölcsön visszatérülése </t>
  </si>
  <si>
    <t>VII.</t>
  </si>
  <si>
    <t>HITELEK</t>
  </si>
  <si>
    <t>Működési célú hitel felvétele</t>
  </si>
  <si>
    <t>Felhalmozási célú hitel felvétele</t>
  </si>
  <si>
    <t>PÉNZFORGALOM NÉLKÜLI BEVÉTELEK</t>
  </si>
  <si>
    <t>BRFK-térfigyelő rendszer rendőrségi működtetésére</t>
  </si>
  <si>
    <t>Kapcsolattartás a határon túli magyar iskolákkal Keret</t>
  </si>
  <si>
    <t>Működési célú pénzeszközátadások:</t>
  </si>
  <si>
    <r>
      <t xml:space="preserve">Pályázaton elnyert beruházási c. támogatás </t>
    </r>
    <r>
      <rPr>
        <sz val="12"/>
        <color indexed="9"/>
        <rFont val="Times New Roman CE"/>
        <family val="0"/>
      </rPr>
      <t>KMOP-4.5.2/A-2f-2009-0008</t>
    </r>
    <r>
      <rPr>
        <sz val="12"/>
        <rFont val="Times New Roman CE"/>
        <family val="1"/>
      </rPr>
      <t xml:space="preserve">
Hűvösvölgyi úti Bölcsőde kialakítása, infrastruktúra - és szolgáltatás fejl.</t>
    </r>
  </si>
  <si>
    <t>Bérlő kijelölési jog vételárrész</t>
  </si>
  <si>
    <t>Elõzõ évi  pénzmaradvány igénybevétele</t>
  </si>
  <si>
    <t>B E V É T E L E K   Ö S S Z E S E N :</t>
  </si>
  <si>
    <r>
      <t xml:space="preserve"> </t>
    </r>
    <r>
      <rPr>
        <i/>
        <sz val="10"/>
        <rFont val="Times New Roman CE"/>
        <family val="0"/>
      </rPr>
      <t>Kiürült önk-i.építmények értékesítése</t>
    </r>
  </si>
  <si>
    <t xml:space="preserve">Ellátottak pénzbeli juttatásai </t>
  </si>
  <si>
    <t xml:space="preserve"> - Egészségbiztosítási Alapból
   folyósított pénzeszköz maradványa</t>
  </si>
  <si>
    <t xml:space="preserve"> - Kötelezettséggel terhelt
   pénzmaradvány</t>
  </si>
  <si>
    <t xml:space="preserve"> - Szabad pénzmaradvány</t>
  </si>
  <si>
    <t>megnevezése</t>
  </si>
  <si>
    <t>Települési vízellátás</t>
  </si>
  <si>
    <t>Egyházi épületek felújítására adott támogatás</t>
  </si>
  <si>
    <t>Nem önkormányzati oktatási intézm.támogatása</t>
  </si>
  <si>
    <t>Lakosságnak</t>
  </si>
  <si>
    <t xml:space="preserve">Állami </t>
  </si>
  <si>
    <t xml:space="preserve"> hozzájárulás</t>
  </si>
  <si>
    <t xml:space="preserve">eltérése a  </t>
  </si>
  <si>
    <t xml:space="preserve">tényleges </t>
  </si>
  <si>
    <t xml:space="preserve">adatokhoz </t>
  </si>
  <si>
    <t xml:space="preserve"> viszonyítva</t>
  </si>
  <si>
    <t xml:space="preserve">A központi </t>
  </si>
  <si>
    <t>költségvetéssel</t>
  </si>
  <si>
    <t>rendezendő</t>
  </si>
  <si>
    <t>pótlólagos</t>
  </si>
  <si>
    <t>támogatási</t>
  </si>
  <si>
    <t>Forintban</t>
  </si>
  <si>
    <t>hozzá-</t>
  </si>
  <si>
    <t>Évközi</t>
  </si>
  <si>
    <t>változások</t>
  </si>
  <si>
    <t>Ténylegesen</t>
  </si>
  <si>
    <t>megillető</t>
  </si>
  <si>
    <t>tervezet</t>
  </si>
  <si>
    <t>támogatás</t>
  </si>
  <si>
    <t>állami</t>
  </si>
  <si>
    <t>mutató-</t>
  </si>
  <si>
    <t>összeg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</si>
  <si>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</si>
  <si>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</si>
  <si>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</si>
  <si>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</si>
  <si>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</si>
  <si>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</si>
  <si>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</si>
  <si>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</si>
  <si>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</si>
  <si>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</si>
  <si>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</si>
  <si>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</si>
  <si>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Kieg.tám.egyes közoktatási feladatok ellátásához</t>
  </si>
  <si>
    <t xml:space="preserve"> adatok között</t>
  </si>
  <si>
    <t xml:space="preserve">korrigált eredeti </t>
  </si>
  <si>
    <t xml:space="preserve">Általános tartalék összesen </t>
  </si>
  <si>
    <t>a</t>
  </si>
  <si>
    <t>Felhalmozási célú pénzeszközátadás a Fővárosnak</t>
  </si>
  <si>
    <t>Tartalékba helyezett összeg jogcíme</t>
  </si>
  <si>
    <t>I.</t>
  </si>
  <si>
    <t xml:space="preserve">Általános tartalék </t>
  </si>
  <si>
    <t>Egyéb tárgyi eszköz értékesítés</t>
  </si>
  <si>
    <t>Pénzügyi befektetések kiadásai</t>
  </si>
  <si>
    <t>Pénzügyi befektetések bevételei</t>
  </si>
  <si>
    <t>Felhalmozási céltartalék</t>
  </si>
  <si>
    <t>Ö s s z e s e n :</t>
  </si>
  <si>
    <t>94211, 94212</t>
  </si>
  <si>
    <t>98111, 98112</t>
  </si>
  <si>
    <t>9332111, 112</t>
  </si>
  <si>
    <t>Céltámogatás:</t>
  </si>
  <si>
    <t>Támogatásértékű működési kiadások:</t>
  </si>
  <si>
    <t>Közbiztonsági Alapítvány támogatása</t>
  </si>
  <si>
    <t>Sorszám</t>
  </si>
  <si>
    <t>bevételek</t>
  </si>
  <si>
    <t>Függő, átfutó, kiegyenlítő kiadások</t>
  </si>
  <si>
    <t>teljesítés</t>
  </si>
  <si>
    <t>Függő, átfutó, kiegyenlítő bevételek</t>
  </si>
  <si>
    <t xml:space="preserve">Beruházási kiadások összesen </t>
  </si>
  <si>
    <t>Előirányzat</t>
  </si>
  <si>
    <t>járulás</t>
  </si>
  <si>
    <t>EGYESÍTETT BÖLCSŐDÉK ÖSSZESEN:</t>
  </si>
  <si>
    <t>Óvoda fejlesztése pályázat KMOP-4.6.1.</t>
  </si>
  <si>
    <t>Törökvész út 18. - bölcsődei kapacitásbővítés / terv</t>
  </si>
  <si>
    <t>Felszíni vízelvezetés</t>
  </si>
  <si>
    <t>Tölgyfa u.-Fekete Sas u.Rendelőintézet komplex akadálymentesítése</t>
  </si>
  <si>
    <t>Szoftver vásárlás</t>
  </si>
  <si>
    <t>Szerver licensz</t>
  </si>
  <si>
    <t xml:space="preserve">Jármű vásárlása - új </t>
  </si>
  <si>
    <t>Q-monitor multimédiás rendszer</t>
  </si>
  <si>
    <t>Megszűnt nemzetségi önk. működési célú tartaléka</t>
  </si>
  <si>
    <t>Talajterhelési díj kötött felhasználású kerete</t>
  </si>
  <si>
    <t>93312+933121</t>
  </si>
  <si>
    <t>2933+93314</t>
  </si>
  <si>
    <t>9321711,2,3,4</t>
  </si>
  <si>
    <t>Intézmények saját bevétele:</t>
  </si>
  <si>
    <t>ÖNK: FŐÖSSZSEG:</t>
  </si>
  <si>
    <t>EGYÉB INTÉZMÉNYEK ÖSSZESEN:</t>
  </si>
  <si>
    <t>ÉNO</t>
  </si>
  <si>
    <t>HUMÁN SZOLGÁLTATÁS ÖSSZESEN:</t>
  </si>
  <si>
    <t>Intézményi működési bevételek</t>
  </si>
  <si>
    <t>Baár-Madas Református Gimn. és Ált.Iskola</t>
  </si>
  <si>
    <t>Testvérkék Ferences Óvoda</t>
  </si>
  <si>
    <t>Eredeti eir.</t>
  </si>
  <si>
    <t>Állategészségügyi</t>
  </si>
  <si>
    <t>Szennyvízelvezetés</t>
  </si>
  <si>
    <t>feladatok</t>
  </si>
  <si>
    <t>tevékenység</t>
  </si>
  <si>
    <t>Eredeti</t>
  </si>
  <si>
    <t>Érvényes</t>
  </si>
  <si>
    <t>ÁFA bevételek, visszatérülések</t>
  </si>
  <si>
    <t>Módosított</t>
  </si>
  <si>
    <t>Móricz Zsigmond Gimnázium</t>
  </si>
  <si>
    <t>Egészségügyi Szolgálat</t>
  </si>
  <si>
    <t>Bursa Hungarica: felsőoktatásban tanulók ösztöndíja</t>
  </si>
  <si>
    <t>Polgármester támogatása non-profit szervezeteknek</t>
  </si>
  <si>
    <t>Alpolgármester támogatása non-profit szervezeteknek</t>
  </si>
  <si>
    <t>Hivatal</t>
  </si>
  <si>
    <t>Budapest Főváros II.ker.Önkormányzatának  cél- és címzett támogatásainak alakulása 2007. évben</t>
  </si>
  <si>
    <t xml:space="preserve">Szennyvízcsatorna bekötővezeték kiépítése </t>
  </si>
  <si>
    <t xml:space="preserve">MSZP Frakció beruházása </t>
  </si>
  <si>
    <t>7. sz. melléklet 2. oldal</t>
  </si>
  <si>
    <t>7. sz. melléklet 3. oldal</t>
  </si>
  <si>
    <t>7. sz. melléklet 4. oldal</t>
  </si>
  <si>
    <t>7. sz. melléklet 5. oldal</t>
  </si>
  <si>
    <t>A feladatra a</t>
  </si>
  <si>
    <t>központi</t>
  </si>
  <si>
    <t>Működési célú kölcsönök megtérülése</t>
  </si>
  <si>
    <t>Működési célú támogatások Áht-n belülről</t>
  </si>
  <si>
    <t>Önk.ált.működéséhez és ágazati feladataihoz kapcsolódó támogatások</t>
  </si>
  <si>
    <t>A központi költségvetésből származó egyéb költségvetési támogatások</t>
  </si>
  <si>
    <t xml:space="preserve">   - működéshez</t>
  </si>
  <si>
    <t xml:space="preserve">   - fejlesztéshez</t>
  </si>
  <si>
    <t>Működési célú támogatás Áht-n belülről (5. számú tábla 14. oszlop)</t>
  </si>
  <si>
    <t xml:space="preserve">   - ebből Eü. Alaptól </t>
  </si>
  <si>
    <t>Felhalmozási célú támogatás Áht-n belülről (5. számú tábla 19. oszlop)</t>
  </si>
  <si>
    <t>FELHALMOZÁSI KÖLTSÉGVETÉSI BEVÉTELEK</t>
  </si>
  <si>
    <t xml:space="preserve">Felhalmozási célú kölcsönök megtérülése </t>
  </si>
  <si>
    <t>ELŐZŐ ÉVI KÖLTSÉGVETÉSI MARADVÁNY ÁTVÉTEL</t>
  </si>
  <si>
    <t>Előző évi működési célú kv-i maradvány átvétele</t>
  </si>
  <si>
    <t>Előző évi felhalmozási célú kv-i maradvány átvétele</t>
  </si>
  <si>
    <t>Költségvetési bevételek összesen (I+II+III+IV+V):</t>
  </si>
  <si>
    <t>Elõzõ évi költségvetési pénzmaradvány igénybevétele működési célú</t>
  </si>
  <si>
    <t>Elõzõ évi költségvetési pénzmaradvány igénybevétele felhalmozási célú</t>
  </si>
  <si>
    <t>Elõzõ évi finanszírozási pénzmaradvány igénybevétele felhalmozási célú</t>
  </si>
  <si>
    <t>Elõzõ évi finanszírozási pénzmaradvány igénybevétele működési célú</t>
  </si>
  <si>
    <t>Klebelsberg Kuno Ált. Isk. és Gimn. könyvtárépület átalakítása</t>
  </si>
  <si>
    <t>Szolgalmi jog alapítása és megváltása vízgyűjtőterületek 
csapadékvíz elvezetésével  kapcsolatban</t>
  </si>
  <si>
    <t>Többletbevételből származó tartalék</t>
  </si>
  <si>
    <t>Fejlesztések előkészítése</t>
  </si>
  <si>
    <t>L É T S Z Á M :</t>
  </si>
  <si>
    <t>Beruházásokhoz kapcsolódó közműfejlesztés</t>
  </si>
  <si>
    <t>költségvetésből</t>
  </si>
  <si>
    <t>igényelt összeg</t>
  </si>
  <si>
    <t>Az önkormányzat</t>
  </si>
  <si>
    <t>által az adott célra</t>
  </si>
  <si>
    <t>ténylegesen</t>
  </si>
  <si>
    <t>Római Katolikus Plénánia Máriaremete (Bazilika)</t>
  </si>
  <si>
    <t>Budapest Újlaki Római Katolikus Egyházközség</t>
  </si>
  <si>
    <t>Önkormányzati lakások lakbérbevételei</t>
  </si>
  <si>
    <t>Önkormányzati nem lakások bérleti díja</t>
  </si>
  <si>
    <t>Úthibák miatti kártalanítások</t>
  </si>
  <si>
    <t>Budapesti Zsidó Hitközség Budai körzete</t>
  </si>
  <si>
    <t>Cimbalom utcai Református Egyházközség</t>
  </si>
  <si>
    <t>PH. Margit krt. 47-49. - légbefúvás</t>
  </si>
  <si>
    <t>Közterületi lépcső (Keleti K. u. 37.)</t>
  </si>
  <si>
    <t>Vonalas telefonközpont és készülékek beszerzése (Call Center)</t>
  </si>
  <si>
    <t>Gépjármű flotta színvonal megőrzését szolgáló beszerzések cserével</t>
  </si>
  <si>
    <t>Aktív eszközök hálózathoz</t>
  </si>
  <si>
    <t>Szerver vásárlás</t>
  </si>
  <si>
    <t>Szerver bővítése</t>
  </si>
  <si>
    <t>FIDESZ-KDNP Frakció beruházása</t>
  </si>
  <si>
    <t>Parkoló automaták</t>
  </si>
  <si>
    <t>Egyéb gépek, berendezések</t>
  </si>
  <si>
    <t>PH. Frankel L. u. 1.</t>
  </si>
  <si>
    <t>Budapest Főváros II.kerületi Önkormányzat 2013. évi költségvetésében tervezett</t>
  </si>
  <si>
    <t>Egyedi szoftverek beszerzése</t>
  </si>
  <si>
    <t>Jármű vásárlása - új (közbeszerzéssel)</t>
  </si>
  <si>
    <t xml:space="preserve">Pályázatokkal kapcsolatos feladatok </t>
  </si>
  <si>
    <t>Társasházak felújítása</t>
  </si>
  <si>
    <t>fő</t>
  </si>
  <si>
    <t>Előző évi központi támogatás visszatérülése</t>
  </si>
  <si>
    <t>Társasházak felújítása - önkormányzati tulajdon után</t>
  </si>
  <si>
    <t>PH-hoz rendelt intézmények beruházási kerete</t>
  </si>
  <si>
    <t>PH-hoz rendelt intézmények felújítási kerete</t>
  </si>
  <si>
    <t>Közvilágítás</t>
  </si>
  <si>
    <t xml:space="preserve">Közterület foglalási díj </t>
  </si>
  <si>
    <t>Orsolya Rendi Szent Angéla Ált.Iskola és Gimn.</t>
  </si>
  <si>
    <t>Teljesítés</t>
  </si>
  <si>
    <t>%-a</t>
  </si>
  <si>
    <t>% - a</t>
  </si>
  <si>
    <t>Telj.</t>
  </si>
  <si>
    <t>4. sz. tábla 6. oldal</t>
  </si>
  <si>
    <t>e</t>
  </si>
  <si>
    <t>h</t>
  </si>
  <si>
    <t>i</t>
  </si>
  <si>
    <t>j</t>
  </si>
  <si>
    <t>k</t>
  </si>
  <si>
    <t>Támogatásértékű működési bevételek:</t>
  </si>
  <si>
    <t>Előző évi</t>
  </si>
  <si>
    <t>pénzmaradvány</t>
  </si>
  <si>
    <t>Sor-</t>
  </si>
  <si>
    <t>szám</t>
  </si>
  <si>
    <t>%</t>
  </si>
  <si>
    <t>f</t>
  </si>
  <si>
    <t>g</t>
  </si>
  <si>
    <t>Bérleti jog átruházása</t>
  </si>
  <si>
    <t>Címzett támogatás:</t>
  </si>
  <si>
    <t>Kneip-ösvény kialakítása</t>
  </si>
  <si>
    <t>Kazán csere</t>
  </si>
  <si>
    <t>4. sz. melléklet 1. oldal</t>
  </si>
  <si>
    <t>Ökumenikus Iskola garanciális visszatartás</t>
  </si>
  <si>
    <t>Működtetett intézmények befizetései</t>
  </si>
  <si>
    <t>Remetekertvárosi Általános Iskola garanciális visszatartás</t>
  </si>
  <si>
    <t xml:space="preserve">Előző évi fel nem használt pályázati tám. visszafiz. </t>
  </si>
  <si>
    <t>Gül Baba Türbéje közp-i beruh.koordinálása, részleges előfinanszírozása</t>
  </si>
  <si>
    <t>Mászó torony alatti gumitégla burkolat készítése</t>
  </si>
  <si>
    <t>Kaputelefon bővítése</t>
  </si>
  <si>
    <t>Klór érzékelő elhelyezése</t>
  </si>
  <si>
    <t>Címzett támogatás összesen:</t>
  </si>
  <si>
    <t>Szennyvíz csatorna hálózat</t>
  </si>
  <si>
    <t>6-7. vízgyűjtő csatorna</t>
  </si>
  <si>
    <t xml:space="preserve">Osztalék- és hozambevételek </t>
  </si>
  <si>
    <t>Budai Görögkatolikus Egyházközség</t>
  </si>
  <si>
    <t>Egyéb vállalkozásnak</t>
  </si>
  <si>
    <t>Egészségügyi Szolgálat összesen:</t>
  </si>
  <si>
    <t>Működési célú támogatásértékű kiadások, egyéb támogatások</t>
  </si>
  <si>
    <t>ÁHT-n kívülre végleges működési pénzeszközátadások</t>
  </si>
  <si>
    <t>Ellátottak pénzbeli juttatásai</t>
  </si>
  <si>
    <t>Felhalmozási célú támogatásértékű kiadások, egyéb támogatások</t>
  </si>
  <si>
    <t>Költségvetési</t>
  </si>
  <si>
    <t>Támogatásértékű</t>
  </si>
  <si>
    <t>Működési</t>
  </si>
  <si>
    <t>Felhalmozási</t>
  </si>
  <si>
    <t>Létszám adatok</t>
  </si>
  <si>
    <t>Önállóan működő</t>
  </si>
  <si>
    <t>Személyi</t>
  </si>
  <si>
    <t>terhelő</t>
  </si>
  <si>
    <t>Dologi</t>
  </si>
  <si>
    <t>működési</t>
  </si>
  <si>
    <t>célú</t>
  </si>
  <si>
    <t>felhalmozási</t>
  </si>
  <si>
    <t xml:space="preserve">költségvetési szerv </t>
  </si>
  <si>
    <t>juttatások</t>
  </si>
  <si>
    <t>járulékok,</t>
  </si>
  <si>
    <t>pénzeszköz</t>
  </si>
  <si>
    <t>pénzbeli</t>
  </si>
  <si>
    <t>Közfog-</t>
  </si>
  <si>
    <t>szocilis</t>
  </si>
  <si>
    <t>átadások</t>
  </si>
  <si>
    <t>juttatásai</t>
  </si>
  <si>
    <t>lalkoztatottak</t>
  </si>
  <si>
    <t>hozzájárulási</t>
  </si>
  <si>
    <t>adó</t>
  </si>
  <si>
    <t xml:space="preserve">Egyesített Bölcsődék </t>
  </si>
  <si>
    <t xml:space="preserve">Felhalmozási </t>
  </si>
  <si>
    <t>saját</t>
  </si>
  <si>
    <t>bevétel</t>
  </si>
  <si>
    <t>Felhalmozási kiadások (felújítások nélkül)</t>
  </si>
  <si>
    <t>Pénzügyi lizing tőketörlesztés miatti kiadások</t>
  </si>
  <si>
    <t>Pénzforgalmi kiadások (13+20)</t>
  </si>
  <si>
    <t>Finanszírozási kiadások összesen: (14+ 15+ 17+18+19)</t>
  </si>
  <si>
    <t>Kiadások összesen (21+22+23)</t>
  </si>
  <si>
    <t>Költségvetési pénzforgalmi bevételek összesen:
(25+... +28+30+31+32+34+35)</t>
  </si>
  <si>
    <t>Bevételek összesen (43+…+45)</t>
  </si>
  <si>
    <t>Finanszírozási műveletek eredménye (42-20)</t>
  </si>
  <si>
    <t>Aktív és passzív pénzügyi műveletek egyenlege (45-23)</t>
  </si>
  <si>
    <t>Működési bevételek</t>
  </si>
  <si>
    <t xml:space="preserve">Igénybe vett tartalékokkal korrigált költségvetési bevételek és kiadások különbsége (47+44-22)
[korrigált költségvetési hiány (-), korrigált költségvetési többlet (+)]  </t>
  </si>
  <si>
    <t>igénybe vételele</t>
  </si>
  <si>
    <t>visszatérülések</t>
  </si>
  <si>
    <t>kamat</t>
  </si>
  <si>
    <t>átvétel</t>
  </si>
  <si>
    <t>működésre</t>
  </si>
  <si>
    <t>felhalmozásra</t>
  </si>
  <si>
    <t>2013. évi</t>
  </si>
  <si>
    <t>Nyílászáró csere helyreállítással, festéssel</t>
  </si>
  <si>
    <t>Játszószerek szabványosítása</t>
  </si>
  <si>
    <t>Épület körüli térburkolatok és járdák készítése</t>
  </si>
  <si>
    <t xml:space="preserve">Óvodák  összesen (a+…+k) : </t>
  </si>
  <si>
    <t>Vérhalom tér 10.szám alatti orvosi rendelő felújítása</t>
  </si>
  <si>
    <t>Telefonközpont beszerzés</t>
  </si>
  <si>
    <t xml:space="preserve"> Munkaadókat terhelő járulékok, szociális hozzájárulási adó </t>
  </si>
  <si>
    <t>Parkoltatás</t>
  </si>
  <si>
    <t>Egyéb jogi tevékenység</t>
  </si>
  <si>
    <t>Önkormányzat</t>
  </si>
  <si>
    <t>feladatai összesen</t>
  </si>
  <si>
    <t>Képviselő testület</t>
  </si>
  <si>
    <t>II. Kerületi Kulturális Közhasznú Nonprofit Kft. műk.tám.</t>
  </si>
  <si>
    <t xml:space="preserve">Kiegészítő gyermekvédelmi támogatás és pótlék </t>
  </si>
  <si>
    <t>Társasházak felújítási támogatása – homlokzat felújításra</t>
  </si>
  <si>
    <t>Átszervezésekhez kapcsolódó beruházások</t>
  </si>
  <si>
    <t>Közvilágítás fejlesztése</t>
  </si>
  <si>
    <t>Egészségközpont</t>
  </si>
  <si>
    <t>Polgármesteri Hivatal II. emelet beépített bútor beszerzés</t>
  </si>
  <si>
    <t>PH parkolóban kaputelefon</t>
  </si>
  <si>
    <t>Fény Utcai Piac tartaléka</t>
  </si>
  <si>
    <t>ÁHT-n kívülre végleges felhalmozási pénzeszközátadások</t>
  </si>
  <si>
    <t>Hosszú lejáratú kölcsönök nyújtása</t>
  </si>
  <si>
    <t>Rövid lejáratú kölcsönök nyújtása</t>
  </si>
  <si>
    <t>Költségvetési pénzforgalmi kiadások összesen: (01+…+12)</t>
  </si>
  <si>
    <t>Tartós hitelviszonyt megtestesítő értékpapírok kiadásai</t>
  </si>
  <si>
    <t>Forgatási célú hitelviszonyt megtestesítő értékpapírok kiadásai</t>
  </si>
  <si>
    <t xml:space="preserve">Kiegyenlítő, függő, átfutó kiadások </t>
  </si>
  <si>
    <t>Működési célú támogatásértékű bevételek, egyéb támogatások</t>
  </si>
  <si>
    <t>ÁHT-n kívülről végleges működési pénzeszközátvételek</t>
  </si>
  <si>
    <t>Felhalmozási célú támogatásértékű bevételek, egyéb támogatások</t>
  </si>
  <si>
    <t>ÁHT-n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</si>
  <si>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</si>
  <si>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</si>
  <si>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</si>
  <si>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</si>
  <si>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</si>
  <si>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</si>
  <si>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11. sz. melléklet</t>
  </si>
  <si>
    <t>Tartós hitelviszonyt megtestesítő értékpapírok bevételei</t>
  </si>
  <si>
    <t>Forgatási célú hitelviszonyt megtestesítő értékpapírok bevételei</t>
  </si>
  <si>
    <t>Kiegyenlítő, függő, átfutó bevételek</t>
  </si>
  <si>
    <t xml:space="preserve">      </t>
  </si>
  <si>
    <t>Rendszeres létfenntartási ( BM - től )</t>
  </si>
  <si>
    <t xml:space="preserve">dec.31-ig </t>
  </si>
  <si>
    <t>felhasznált</t>
  </si>
  <si>
    <t>feladattal</t>
  </si>
  <si>
    <t>terhelt, de fel</t>
  </si>
  <si>
    <t>nem használt</t>
  </si>
  <si>
    <t>Forgatási célú pénzügyi műveletek egyenlege</t>
  </si>
  <si>
    <t>Vállalkozási tevékenység pénzforgalmi vállalkozási
maradványa (-)</t>
  </si>
  <si>
    <t>Tárgyévi helyesbített pénzmaradvány (1+ 2 ± 3 - 4 - 5)</t>
  </si>
  <si>
    <t>Finanszírozásból származó korrekciók ( + )</t>
  </si>
  <si>
    <t>Költségvetési pénzmaradvány (6 ± 7 ± 8)</t>
  </si>
  <si>
    <t>Módosított pénzmaradvány (3 ± 10 ± 11)</t>
  </si>
  <si>
    <t xml:space="preserve">A 12. sorból </t>
  </si>
  <si>
    <t>14.</t>
  </si>
  <si>
    <t>- Kötelezettségvállalással terhelt pénzmaradvány</t>
  </si>
  <si>
    <t>15.</t>
  </si>
  <si>
    <t>Az állami hozzájárulás jogcíme</t>
  </si>
  <si>
    <t>(az éves költségvetési törvény szerint)</t>
  </si>
  <si>
    <t>törvényben megállapított,</t>
  </si>
  <si>
    <t xml:space="preserve">Az éves költségvetési </t>
  </si>
  <si>
    <t>Eltérés a költségvetési</t>
  </si>
  <si>
    <t>visszafizetés (-),</t>
  </si>
  <si>
    <t>igény (+)</t>
  </si>
  <si>
    <t>törvény és a tényleges</t>
  </si>
  <si>
    <t>II.</t>
  </si>
  <si>
    <t xml:space="preserve">Gépjárműadó    </t>
  </si>
  <si>
    <t>22.sz tábla a     /2008. (        )</t>
  </si>
  <si>
    <t>Beruházási kiadások</t>
  </si>
  <si>
    <t>Képviselő-testülethez rendelt tartalék</t>
  </si>
  <si>
    <t>Támogatás mindösszesen</t>
  </si>
  <si>
    <t>Beruházás</t>
  </si>
  <si>
    <t>Előző időszak</t>
  </si>
  <si>
    <t>Tárgyévi</t>
  </si>
  <si>
    <t>tervezett összes költsége</t>
  </si>
  <si>
    <t>ebből a támog.össz.</t>
  </si>
  <si>
    <t>beruházás összes ráford.</t>
  </si>
  <si>
    <t>beruházás tervezett ráfordítása</t>
  </si>
  <si>
    <t>beruházás tényleges ráfordítása</t>
  </si>
  <si>
    <t>igénybe vett támogatás</t>
  </si>
  <si>
    <t>módosított</t>
  </si>
  <si>
    <t>időarányos előirányzat</t>
  </si>
  <si>
    <t>igénybe vett összeg</t>
  </si>
  <si>
    <t>áthúzódó</t>
  </si>
  <si>
    <t>tárgyévi</t>
  </si>
  <si>
    <t>összes</t>
  </si>
  <si>
    <t>előirányzata</t>
  </si>
  <si>
    <t>Pasaréti Ref. Egyházközség (Pasaréti Ref. Alapítvány)</t>
  </si>
  <si>
    <t>Pesthidegkúti Református Egyházközség</t>
  </si>
  <si>
    <t>Sarepta Budai Evangélikus Szeretetotthon</t>
  </si>
  <si>
    <t>1.</t>
  </si>
  <si>
    <t>Személyi juttatások</t>
  </si>
  <si>
    <t>Tartalékok mindösszesen ( I+II)</t>
  </si>
  <si>
    <t>Non-profit szervezeteknek</t>
  </si>
  <si>
    <t xml:space="preserve">Habilitációs Napk.Otthon </t>
  </si>
  <si>
    <t>Társadalmi szervezetek támogatása</t>
  </si>
  <si>
    <t>Nyugdíjas klubok támogatása</t>
  </si>
  <si>
    <t>Intézményfinanszírozás</t>
  </si>
  <si>
    <t>érvényes</t>
  </si>
  <si>
    <t>Színházak támogatása</t>
  </si>
  <si>
    <t>Építésügyi bírság</t>
  </si>
  <si>
    <t>Feladattal nem terhelt tartalék</t>
  </si>
  <si>
    <t>Jogcím</t>
  </si>
  <si>
    <t>Befektetett eszközök összesen</t>
  </si>
  <si>
    <t>B/ Forgóeszközök</t>
  </si>
  <si>
    <t>Tartalékok összesen</t>
  </si>
  <si>
    <t>F/ Kötelezettségek</t>
  </si>
  <si>
    <t>Előző</t>
  </si>
  <si>
    <t>Tárgy</t>
  </si>
  <si>
    <t>évi</t>
  </si>
  <si>
    <t>E S Z K Ö Z Ö K</t>
  </si>
  <si>
    <t>auditált</t>
  </si>
  <si>
    <t>F O R R Á S O K</t>
  </si>
  <si>
    <t>költség-</t>
  </si>
  <si>
    <t>Auditá-</t>
  </si>
  <si>
    <t>egysze-</t>
  </si>
  <si>
    <t>vetési</t>
  </si>
  <si>
    <t>lási</t>
  </si>
  <si>
    <t>rűsített</t>
  </si>
  <si>
    <t>beszá-</t>
  </si>
  <si>
    <t>eltéré-</t>
  </si>
  <si>
    <t>moló</t>
  </si>
  <si>
    <t>sek*</t>
  </si>
  <si>
    <t>záró</t>
  </si>
  <si>
    <t>(+,-)</t>
  </si>
  <si>
    <t>adatai</t>
  </si>
  <si>
    <t>D/Saját tőke</t>
  </si>
  <si>
    <t>Saját tőke összesen</t>
  </si>
  <si>
    <t>Egyéb non-profit szervezetek:</t>
  </si>
  <si>
    <t xml:space="preserve">Céltartalékok </t>
  </si>
  <si>
    <t>Helyi adók összesen</t>
  </si>
  <si>
    <t>Magánszemélyek kommunális adója</t>
  </si>
  <si>
    <t>Havaria keret</t>
  </si>
  <si>
    <t>2011. évi</t>
  </si>
  <si>
    <t>Polgármesteri Hivatal</t>
  </si>
  <si>
    <t xml:space="preserve"> Kiadás</t>
  </si>
  <si>
    <t xml:space="preserve">  Drogprevenció</t>
  </si>
  <si>
    <t>b</t>
  </si>
  <si>
    <t>Ssz.</t>
  </si>
  <si>
    <t>Előző év</t>
  </si>
  <si>
    <t>költségve-</t>
  </si>
  <si>
    <t>Auditálá-</t>
  </si>
  <si>
    <t>tési beszá-</t>
  </si>
  <si>
    <t>si eltéré</t>
  </si>
  <si>
    <t>egyszerűsí-</t>
  </si>
  <si>
    <t>moló záró</t>
  </si>
  <si>
    <t>tett beszá-</t>
  </si>
  <si>
    <t>e)</t>
  </si>
  <si>
    <t>Vállalkozásoknak</t>
  </si>
  <si>
    <t>IV.</t>
  </si>
  <si>
    <t>V.</t>
  </si>
  <si>
    <t>Intézmények</t>
  </si>
  <si>
    <t>Kerület</t>
  </si>
  <si>
    <t>Szolgálat</t>
  </si>
  <si>
    <t>( ezer forintban )</t>
  </si>
  <si>
    <t xml:space="preserve">Kiadási előirányzat-csoport </t>
  </si>
  <si>
    <t xml:space="preserve">Bevételi előirányzat-csoport </t>
  </si>
  <si>
    <t>Működési forráshiány/többlet</t>
  </si>
  <si>
    <t>Felhalmozási forráshiány/többlet</t>
  </si>
  <si>
    <t>Hosszú lejáratú hitel törlesztése</t>
  </si>
  <si>
    <t>Hosszú lejáratú hitel felvétele</t>
  </si>
  <si>
    <t>Felhalm.célú pénzeszközátvétel államháztartáson kívülről</t>
  </si>
  <si>
    <t>Beruházások</t>
  </si>
  <si>
    <t>Felújítások</t>
  </si>
  <si>
    <t>teljesítése</t>
  </si>
  <si>
    <t>kiadás</t>
  </si>
  <si>
    <t>Bolyai Utcai Óvoda</t>
  </si>
  <si>
    <t>Budakeszi Úti Óvoda</t>
  </si>
  <si>
    <t>Hűvösvölgyi Gesztenyéskert Óvoda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</si>
  <si>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</si>
  <si>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</si>
  <si>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</si>
  <si>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</si>
  <si>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</si>
  <si>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</si>
  <si>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</si>
  <si>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Virágárok Óvoda</t>
  </si>
  <si>
    <t>Intézmény Működtetési Központ</t>
  </si>
  <si>
    <t>évi működési</t>
  </si>
  <si>
    <t>évi felhalmozási</t>
  </si>
  <si>
    <t>államháztartáson</t>
  </si>
  <si>
    <t>előirányzat-</t>
  </si>
  <si>
    <t xml:space="preserve">működési </t>
  </si>
  <si>
    <t>ÁFA-bevételek,-</t>
  </si>
  <si>
    <t>hozam-és</t>
  </si>
  <si>
    <t>belülről</t>
  </si>
  <si>
    <t>maradvány,</t>
  </si>
  <si>
    <t>Önkormányzati</t>
  </si>
  <si>
    <t>2013. évi céljellegű kiadások</t>
  </si>
  <si>
    <t>Egyéb célljelegű kiadások</t>
  </si>
  <si>
    <t>Önállóan működő költségvetési szerv megnevezése</t>
  </si>
  <si>
    <t>Víz és csatorna díj</t>
  </si>
  <si>
    <t>Szemét szállítás és szelektív hulladék gyűjtés</t>
  </si>
  <si>
    <t xml:space="preserve">Rezsi költségek összesen </t>
  </si>
  <si>
    <t>Takarítás, porta szolgálat</t>
  </si>
  <si>
    <t>Munkaruha, védőruha</t>
  </si>
  <si>
    <t>MINDÖSSZESEN:</t>
  </si>
  <si>
    <t xml:space="preserve"> Intézmény megnevezése</t>
  </si>
  <si>
    <t>Áldás Utcai Iskola</t>
  </si>
  <si>
    <t>Budenz József Ált.Isk.és Gimnázium</t>
  </si>
  <si>
    <t>Csík Ferenc Ált. Isk. és Gimnázium</t>
  </si>
  <si>
    <t>Fillér Utcai Általános Iskola</t>
  </si>
  <si>
    <t>Klebelsberg Kuno Ált. Isk. és Gimnázium</t>
  </si>
  <si>
    <t>Kodály Z. Ének-zenei Ált.Isk. és Gimnázium</t>
  </si>
  <si>
    <t>Ökumenikus Általános Iskola</t>
  </si>
  <si>
    <t>Pitypang Utcai Általános Iskola</t>
  </si>
  <si>
    <t>Remetekertvárosi Általános Iskola</t>
  </si>
  <si>
    <t>Szabó Lőrinc Általános Iskola</t>
  </si>
  <si>
    <t>Törökvész Úti Általános Iskola</t>
  </si>
  <si>
    <t>Újlaki Általános Iskola</t>
  </si>
  <si>
    <t>ISKOLÁK ÖSSZESEN:</t>
  </si>
  <si>
    <t>Járdányi Pál Zeneiskola</t>
  </si>
  <si>
    <t>Pedagógiai Szakszolgálat</t>
  </si>
  <si>
    <t>Pedagógiai Intézet</t>
  </si>
  <si>
    <t>előirnyzat</t>
  </si>
  <si>
    <t>Intézmény megnevezése</t>
  </si>
  <si>
    <t>Finanszírozás</t>
  </si>
  <si>
    <t>Budagyöngye Bölcsőde összesen:</t>
  </si>
  <si>
    <t>Hidegkúti Bölcsőde összesen:</t>
  </si>
  <si>
    <t>Pasaréti Úti Bölcsőde összesen:</t>
  </si>
  <si>
    <t>Öltöző, zuhanyozó felújítása</t>
  </si>
  <si>
    <t>Törökvész Úti Bölcsőde összesen:</t>
  </si>
  <si>
    <t>Varsányi Úti Bölcsőde összesen:</t>
  </si>
  <si>
    <t>Mobil Bölcsőde összesen:</t>
  </si>
  <si>
    <t>Bölcsődék  összesen (a+…+f) :</t>
  </si>
  <si>
    <t>Bólyai Utcai Óvoda összesen:</t>
  </si>
  <si>
    <t>Labanc utcai tagóvoda kert felújítás</t>
  </si>
  <si>
    <t>Budakeszi Úti Óvoda összesen:</t>
  </si>
  <si>
    <t>Hűvösvölgyi Gesztenyéskert Óvoda összesen:</t>
  </si>
  <si>
    <t>Kitaibel Utcai Óvoda összesen</t>
  </si>
  <si>
    <t>Kolozsvár Utcai Óvoda összesen:</t>
  </si>
  <si>
    <t>Járda építés</t>
  </si>
  <si>
    <t>Községház Utcai Óvoda összesen:</t>
  </si>
  <si>
    <t>Pitypang Utcai Óvoda összesen:</t>
  </si>
  <si>
    <t>Százszorszép Óvoda összesen:</t>
  </si>
  <si>
    <t>Szemlőhegy Utcai Óvoda összesen:</t>
  </si>
  <si>
    <t>Törökvész Úti Óvoda összesen:</t>
  </si>
  <si>
    <t>Virágárok u. 8. óvoda fa nyílászáró csere</t>
  </si>
  <si>
    <t>III. sz. Gondozási Központ összesen:</t>
  </si>
  <si>
    <t>ÉNO,Gondozási központok, Családsegítő összesen: (a+…+e)</t>
  </si>
  <si>
    <t>Intézmény Működtetési Központ összesen:</t>
  </si>
  <si>
    <t>Önállóan működő költségvetési szervek összesen: (1+2+3+4)</t>
  </si>
  <si>
    <t>II. KERÜLET MINDÖSSZESEN:</t>
  </si>
  <si>
    <t>2013.</t>
  </si>
  <si>
    <t>Bútor, kötelező eszköz, gép, berendezés, informatikai eszköz beszerzés bölcsődékben</t>
  </si>
  <si>
    <t>Bútor, kötelező eszköz, gép, berendezés, informatikai eszköz beszerzés</t>
  </si>
  <si>
    <t>Informatikai eszköz beszerzés</t>
  </si>
  <si>
    <t>Váladékszívó műszeregység - Gasztroenterológia</t>
  </si>
  <si>
    <t>Chira-Diplomat-Economy fogászati egység - Pasaréti u. Gyermekfogászat</t>
  </si>
  <si>
    <t>Központi költségvetési szervnek</t>
  </si>
  <si>
    <t>Önkormányzatoknak és költségvetési szerveinek</t>
  </si>
  <si>
    <t>Pesthidegkúti VÖK területén lévő szervezetek</t>
  </si>
  <si>
    <t>Civitan Help Club működési támogatása</t>
  </si>
  <si>
    <t>Magyarok Nagyasszonya Ferences Rendtartomány</t>
  </si>
  <si>
    <t>Aranycsapat Alapítvány</t>
  </si>
  <si>
    <t>Kamatmentes szociális kölcsön</t>
  </si>
  <si>
    <t>Központi költségvetési szervtől</t>
  </si>
  <si>
    <t>4. sz. melléklet 4. oldal</t>
  </si>
  <si>
    <t>28-ból Önkormányzatok sajátos felhalmozási és tőkebevételei</t>
  </si>
  <si>
    <t>20. sz. tábla a     /2010. (        )</t>
  </si>
  <si>
    <t>Belterületi utak szilárd burkolattal való ellátása</t>
  </si>
  <si>
    <t>Lehívás vagy</t>
  </si>
  <si>
    <t>tényleges</t>
  </si>
  <si>
    <t xml:space="preserve">Kötelező feladatok </t>
  </si>
  <si>
    <t>Helyi közutak, közterek és parkok</t>
  </si>
  <si>
    <t>Településrendezés, településfejlesztés</t>
  </si>
  <si>
    <t>Turizmussal kapcsolatos feladatok</t>
  </si>
  <si>
    <t>Szociális, gyermekjóléti szolg.és ell.</t>
  </si>
  <si>
    <t>Helyi közművelődési tevékenység</t>
  </si>
  <si>
    <t xml:space="preserve">Szociális lakások felújítása </t>
  </si>
  <si>
    <t>Saját tul.lakás- és helyiséggazdálkodás összesen:</t>
  </si>
  <si>
    <t>Helyi adóval kapcsolatos feladatok</t>
  </si>
  <si>
    <t>Oktatási intézmények működtetése, fejlesztése</t>
  </si>
  <si>
    <t>Kleblesberg Kuno Ált. Isk.és Gimnázium garanciális visszatartás</t>
  </si>
  <si>
    <t>Áldás Utcai Iskola kerítés felújítás</t>
  </si>
  <si>
    <t>Áldás Utcai Iskola födémmező megerősítés tervezés engedélyeztetéssel</t>
  </si>
  <si>
    <t>Oktatási intézmények működtetése, fejlesztése összesen:</t>
  </si>
  <si>
    <t>Egyéb, jogszab.alapján kötelező feladat</t>
  </si>
  <si>
    <t>Önk-i egyéb vagyonnal való gazdálkodás</t>
  </si>
  <si>
    <t>Kötelező feladatok összesen ( A ):</t>
  </si>
  <si>
    <t xml:space="preserve">Önként vállalt feladatok </t>
  </si>
  <si>
    <t>Állateü.tevékenység</t>
  </si>
  <si>
    <t>Hulladékgazdálkodás és környezetvédelem</t>
  </si>
  <si>
    <t>Média tevékenység (újság, honlap)</t>
  </si>
  <si>
    <t>Szennyvízelvezetés és -kezelés</t>
  </si>
  <si>
    <t>Önk-i egyéb önként vállalt feladatok</t>
  </si>
  <si>
    <t>Járóbeteg ellátás (ROTA vírus)</t>
  </si>
  <si>
    <t>Önként vállalt feladatok összesen ( B ):</t>
  </si>
  <si>
    <t xml:space="preserve">Önkormányzati feladatok összesen </t>
  </si>
  <si>
    <t xml:space="preserve">Polgármesteri Hivatal </t>
  </si>
  <si>
    <t>PH. Buday L. u. 5/c</t>
  </si>
  <si>
    <t>Támogatások Áht-n belülről</t>
  </si>
  <si>
    <t>PH.Mechwart liget 1. Tervezett ablak csere II.ütem, aljzat és parketta teljes felújításával</t>
  </si>
  <si>
    <t>Felső-Zöldmáli út 128. felújítása</t>
  </si>
  <si>
    <t>Keleti K. u. 15. felújítása</t>
  </si>
  <si>
    <t>Önk.össz.</t>
  </si>
  <si>
    <t>14. sz. melléklet</t>
  </si>
  <si>
    <t>Játszóeszközök lecserélése</t>
  </si>
  <si>
    <t>Faveremrácsok pótlása</t>
  </si>
  <si>
    <t>n</t>
  </si>
  <si>
    <t>Dézsák kihelyezése</t>
  </si>
  <si>
    <t>o</t>
  </si>
  <si>
    <t>p</t>
  </si>
  <si>
    <t>Játszóeszközök szabványosítása</t>
  </si>
  <si>
    <t>q</t>
  </si>
  <si>
    <t>Körfutópálya kialakítása - Vérhalom tér</t>
  </si>
  <si>
    <t>r</t>
  </si>
  <si>
    <t>s</t>
  </si>
  <si>
    <t>t</t>
  </si>
  <si>
    <t>u</t>
  </si>
  <si>
    <t>v</t>
  </si>
  <si>
    <t>Mozgássérültek számára parkolóhelyek kialakítása</t>
  </si>
  <si>
    <t>Fillér utca-Garas utca jelzőlámpás csomópont</t>
  </si>
  <si>
    <t>Helyi közutak, közterek és parkok összesen:</t>
  </si>
  <si>
    <t>Kamerarendszer</t>
  </si>
  <si>
    <t>Parkoltatás összesen:</t>
  </si>
  <si>
    <t>Mobil kamerás rendszer beszerzése Városrendészet részére</t>
  </si>
  <si>
    <t>Közterület-felügyelet összesen:</t>
  </si>
  <si>
    <t>Orvosi rendelő Községház u. 12-16.</t>
  </si>
  <si>
    <t>Egészségügyi alapellátás összesen:</t>
  </si>
  <si>
    <t>Labanc u. 2. Óvoda beruházása</t>
  </si>
  <si>
    <t>Völgy u. 1-3. Óvoda beruházása</t>
  </si>
  <si>
    <t>Bolyai Óvoda beruházása - kazán cseréje</t>
  </si>
  <si>
    <t>Virágárok u. 15. kapacitás bővítése</t>
  </si>
  <si>
    <t>Törökvész úti Óvoda beruházása - pinceszigetelés</t>
  </si>
  <si>
    <t>Labanc u. 2. Óvoda energetikai pályázat</t>
  </si>
  <si>
    <t>Budakeszi út 75. Óvoda energetikai pályázat</t>
  </si>
  <si>
    <t>Óvodai ellátás összesen:</t>
  </si>
  <si>
    <t>Törökvész út 18. - bölcsődei kapacitásbővítés III. ütem</t>
  </si>
  <si>
    <t>Varsányi I. u. 32. - bölcsődei kapacitásbővítés / terv</t>
  </si>
  <si>
    <t>Szociális, gyermekjóléti szolg.és ellátás összesen:</t>
  </si>
  <si>
    <t>Újlaki Általános Iskola beruházása</t>
  </si>
  <si>
    <t>Pitypang Utcai Iskola eszköz beszerzés</t>
  </si>
  <si>
    <t>Ügyfélszolgálati Központ beruházása / kommunikációs akadálymentesítés</t>
  </si>
  <si>
    <t>Egyéb, jogszab.alapján kötelező feladat összesen:</t>
  </si>
  <si>
    <t>Önk-i egyéb vagyonnal való gazdálkodás összesen:</t>
  </si>
  <si>
    <t>Közvilágítás összesen:</t>
  </si>
  <si>
    <t>Települési vízellátás összesen:</t>
  </si>
  <si>
    <t>Önkormányzati egyéb önként vállalt feladatok összesen:</t>
  </si>
  <si>
    <t>Önkormányzati feladatok összesen ( A + B )</t>
  </si>
  <si>
    <t>Frankel L. u. 1.</t>
  </si>
  <si>
    <t>Szünetmentes tápegység vásárlás</t>
  </si>
  <si>
    <t xml:space="preserve">Storage beszerzés </t>
  </si>
  <si>
    <t>Műalkotás - Nepomuki Szent János szobor</t>
  </si>
  <si>
    <t>Képzőműszeti alkotások (II.ker-i művészek)</t>
  </si>
  <si>
    <t xml:space="preserve">II. </t>
  </si>
  <si>
    <t>4.tábla feladatok összesenhez</t>
  </si>
  <si>
    <t>15. sz. melléklet</t>
  </si>
  <si>
    <t>Hivatali egységek költöztetéséhez kapcs. tartalék</t>
  </si>
  <si>
    <t>Működtetett intézmények átvett pályázati pénze</t>
  </si>
  <si>
    <t>Pályázati önrész</t>
  </si>
  <si>
    <t>Integrált Városfejlesztési Stratégia II. akcióterülete</t>
  </si>
  <si>
    <t>Intézmények eszközbeszerzései</t>
  </si>
  <si>
    <t>Új kialakítású intézmények játszó kertjeinek kialakítása</t>
  </si>
  <si>
    <t>Kulturális Közhasznú Nonprofit Kft. beruházási terve</t>
  </si>
  <si>
    <t>Integrált Városfejlesztési Stratégia III. akcióterülete</t>
  </si>
  <si>
    <t>Térfigyelő rendszer bővítése</t>
  </si>
  <si>
    <t>Hidegkúti temetkezési emlékhely kialakításának előkészítése</t>
  </si>
  <si>
    <t>felhasználás</t>
  </si>
  <si>
    <t>XII. 31-ig</t>
  </si>
  <si>
    <t>Feladattal terhelt,</t>
  </si>
  <si>
    <t>de fel nem</t>
  </si>
  <si>
    <t xml:space="preserve"> használt összeg</t>
  </si>
  <si>
    <t>Visszafizetendő</t>
  </si>
  <si>
    <t>sek</t>
  </si>
  <si>
    <t>Helyi nemzetiségi önkormányzatok támogatása</t>
  </si>
  <si>
    <t>Előző évi, működési célú eir.m, pm. átadás int-knek</t>
  </si>
  <si>
    <t>eltérések</t>
  </si>
  <si>
    <t>érv.</t>
  </si>
  <si>
    <t>telj.</t>
  </si>
  <si>
    <t>Megjegyzés: a tábla nem tartalmazza a Polgármesteri Hivatal és az intézmények adatait.</t>
  </si>
  <si>
    <t>támogatásértékű működési kiadások és működési célú pénzeszközátadások</t>
  </si>
  <si>
    <t>támogatásértékű működési bevételek és működési célú pénzeszközátvételek</t>
  </si>
  <si>
    <t>Turisztikai tevékenység támogatása NGM/IFA 2011 BP-3</t>
  </si>
  <si>
    <t xml:space="preserve"> támogatásértékű felhalmozási kiadások és felhalmozási célú pénzeszközátadások</t>
  </si>
  <si>
    <t>Közterületek szépítése lakossági pályázat</t>
  </si>
  <si>
    <t>támogatásértékű felhalmozási bevételek és felhalmozási célú pénzeszközátvételek</t>
  </si>
  <si>
    <t>tevezett kölcsön nyújtások és visszatérülésük</t>
  </si>
  <si>
    <t xml:space="preserve"> Működési célú kölcsönök:</t>
  </si>
  <si>
    <t xml:space="preserve"> Felhalmozási célú kölcsönök:</t>
  </si>
  <si>
    <t>Kölcsönök nyújtása összesen:</t>
  </si>
  <si>
    <t>Működési célú kölcsönök visszatérülése:</t>
  </si>
  <si>
    <t>Szociális kölcsönök visszatérülése</t>
  </si>
  <si>
    <t>Felhalmozási célú kölcsönök visszatérülése:</t>
  </si>
  <si>
    <t>Elsõ lakáshoz jutók kölcsöne</t>
  </si>
  <si>
    <t>Kölcsönök visszatérülése összesen:</t>
  </si>
  <si>
    <t>13. sz. melléklet</t>
  </si>
  <si>
    <t>Kötelező feladatok</t>
  </si>
  <si>
    <t xml:space="preserve">Hulladékgazdálkodás és </t>
  </si>
  <si>
    <t>környezetvédelem</t>
  </si>
  <si>
    <t>Média tevékenység</t>
  </si>
  <si>
    <t>(újság, honlap)</t>
  </si>
  <si>
    <t xml:space="preserve">Közvilágítás </t>
  </si>
  <si>
    <t>és -kezelés</t>
  </si>
  <si>
    <t>Önk-i egyéb önként vállalt</t>
  </si>
  <si>
    <t>(ROTA vírus)</t>
  </si>
  <si>
    <t>Támogatások, ösztöndíjak</t>
  </si>
  <si>
    <t>Önként vállalt feladatok</t>
  </si>
  <si>
    <t>Szociális, gyermekjóléti</t>
  </si>
  <si>
    <t>szolg.és ell.</t>
  </si>
  <si>
    <t>Helyi közművelődési</t>
  </si>
  <si>
    <t>Polg.Hiv.</t>
  </si>
  <si>
    <t>államigazgatási feladatai</t>
  </si>
  <si>
    <t>Hivatali egyéb kötelező feladatok</t>
  </si>
  <si>
    <t>Közfoglalkoztatottak létszáma:</t>
  </si>
  <si>
    <t>költségvetési szervek</t>
  </si>
  <si>
    <t>Társ-, szoc.pol. és egyéb juttatás, támogatás</t>
  </si>
  <si>
    <t>Budapest Főváros II. Kerületi Önkormányzat 2013. évi költségvetési mérlege</t>
  </si>
  <si>
    <t>Budapest Főváros II. Kerületi Önkormányzat  2013. évi költségvetésének kiadási előirányzatai és teljesítései</t>
  </si>
  <si>
    <t>Budapest Főváros II. Kerületi Önkormányzat  2013. évi költségvetésének bevételi előirányzatai és teljesítései</t>
  </si>
  <si>
    <t>2013.évi</t>
  </si>
  <si>
    <t>Budapest Főváros  II. Kerületi Önkormányzat  2013. évi költségvetésében tervezett</t>
  </si>
  <si>
    <t>Budapest Főváros II. Kerületi Önkormányzat  2013. évi költségvetésében tervezett</t>
  </si>
  <si>
    <t>Budapest Főváros II. Kerületi Önkormányzat  2013. évi költségvetésében</t>
  </si>
  <si>
    <t>Budapest Főváros II.Kerületi Önkormányzat 2013. évi felújítási előirányzatai és teljesítései jogcímenként</t>
  </si>
  <si>
    <t>Budapest Főváros II.Kerületi Önkormányzat 2013. évi beruházási előirányzatai és teljesítései jogcímenként</t>
  </si>
  <si>
    <t xml:space="preserve"> 2013. évi tartalékainak előirányzatai</t>
  </si>
  <si>
    <t xml:space="preserve">2013. évi </t>
  </si>
  <si>
    <t>Kölcsönök nyújtása</t>
  </si>
  <si>
    <t xml:space="preserve"> Működési célú kölcsön nyújtása </t>
  </si>
  <si>
    <t xml:space="preserve"> Felhalmozási célú kölcsön nyújtása </t>
  </si>
  <si>
    <t>Egyéb működési célú kiadások</t>
  </si>
  <si>
    <t xml:space="preserve"> - támogatásértékű működési kiadások</t>
  </si>
  <si>
    <t xml:space="preserve"> - működési célú pénzeszköz átadások</t>
  </si>
  <si>
    <t xml:space="preserve"> - társadalom-, szociálpolitikai és egyéb juttatás, támogatás</t>
  </si>
  <si>
    <t xml:space="preserve"> - működési célú kölcsön nyújtása</t>
  </si>
  <si>
    <t>Egyéb felhalmozási célú kiadások</t>
  </si>
  <si>
    <t xml:space="preserve"> - támogatásértékű felhalmozási kiadások</t>
  </si>
  <si>
    <t xml:space="preserve"> - felhalmozási célú pénzeszköz átadások</t>
  </si>
  <si>
    <t>Közhatalmi bevételek</t>
  </si>
  <si>
    <t>Önk.ált.működési és ágazati feladatokhoz kapcs.tám.</t>
  </si>
  <si>
    <t>Egyéb központi támogatások - működési</t>
  </si>
  <si>
    <t>Működési célú támogatás Áht-on belülről</t>
  </si>
  <si>
    <t xml:space="preserve">Működési célú átvett pénzeszköz </t>
  </si>
  <si>
    <t>Előző évi műk.célú eir.maradvány átvétele</t>
  </si>
  <si>
    <t>Előző évi műk.célú eir-, pénzmaradvány igénybevétele</t>
  </si>
  <si>
    <t>Egyéb központi támogatások - felhalmozási</t>
  </si>
  <si>
    <t>Felhalmozási célú támogatás Áht-on belülről</t>
  </si>
  <si>
    <t xml:space="preserve">Felhalmozási célú átvett pénzeszköz </t>
  </si>
  <si>
    <t xml:space="preserve"> - hosszú lejáratú hitel kamata</t>
  </si>
  <si>
    <t>Előző évi felh.célú eir.maradvány átvétele</t>
  </si>
  <si>
    <t xml:space="preserve"> - felhalmozási célú kölcsön nyújtása </t>
  </si>
  <si>
    <t>Előző évi felh.célú eir-, pénzmaradvány igénybevétele</t>
  </si>
  <si>
    <t>( I.+II.)</t>
  </si>
  <si>
    <t>Előző évi szabad pénzmaradvány igénybe vétele működésre</t>
  </si>
  <si>
    <t>Előző évi szabad pénzmaradvány igénybe vétele felhalmozásra</t>
  </si>
  <si>
    <t>Finanszírozási célú pénzügyi műveletek kiadásai</t>
  </si>
  <si>
    <t>Finanszírozási célú pénzügyi műveletek bevételei</t>
  </si>
  <si>
    <t>(III.+ IV.+V.)</t>
  </si>
  <si>
    <t>(III.+IV.+V.+VI.)</t>
  </si>
  <si>
    <t>Rezeda u. 10. szám alatti ingatlan felújítása</t>
  </si>
  <si>
    <t>Önkormányzati feladatok</t>
  </si>
  <si>
    <t>Játszóeszközök kihelyezése</t>
  </si>
  <si>
    <t>Forgalomtechnikai eszközök láthatóságának fejlesztése</t>
  </si>
  <si>
    <t>Közlekedési csomópontok áteresztőképességének növelése</t>
  </si>
  <si>
    <t xml:space="preserve">Kerékpárutak fejlesztése, kerékpártároló kihelyezése </t>
  </si>
  <si>
    <t>Korlátozott várakozási övezet forgalomtechnikai beavatkozások</t>
  </si>
  <si>
    <t>Kapy út- Csatárka u.-Törökvész út körforgalom kialakítása</t>
  </si>
  <si>
    <t>Korlátozott várakozási övezet bővítése</t>
  </si>
  <si>
    <t>Önkormányzatoktól és költségvetési szerveitől</t>
  </si>
  <si>
    <t>Remeteszőlős Önkormányzat</t>
  </si>
  <si>
    <t>Működési célú pénzeszközátvételek :</t>
  </si>
  <si>
    <t>Bursa Hungarica visszautalása (nem folyósított ösztöndíjak)</t>
  </si>
  <si>
    <t>Mozgáskorlátozottak közlekedési támogatása</t>
  </si>
  <si>
    <t>Gondviselés Háza Gondozási Központ</t>
  </si>
  <si>
    <t xml:space="preserve">Önkormányzat lakásgazdálkodási feladatai </t>
  </si>
  <si>
    <t>Lakásépítési alap - Munkáltatói</t>
  </si>
  <si>
    <t xml:space="preserve">Önk.helyi lakásépítési kölcsön </t>
  </si>
  <si>
    <t>Felhalmozási célú pénzeszközátadások:</t>
  </si>
  <si>
    <t>Támogatásértékű felhalmozási kiadások:</t>
  </si>
  <si>
    <t xml:space="preserve">IV. Üzemeltetésre, kezelésre átadott, koncesszióba, </t>
  </si>
  <si>
    <t xml:space="preserve">     vagyonkezelésbe vett eszközök</t>
  </si>
  <si>
    <t xml:space="preserve">     vagyonkezelésbe adott, illetve </t>
  </si>
  <si>
    <t>eredeti bevételi</t>
  </si>
  <si>
    <t>érvényes bevételi</t>
  </si>
  <si>
    <t>Felhalmozási célú pénzeszközátvételek:</t>
  </si>
  <si>
    <t>Helyi támogatás visszafizetése</t>
  </si>
  <si>
    <t>Munkáltatói kölcsön</t>
  </si>
  <si>
    <t>Tagi kölcsön visszatérülése</t>
  </si>
  <si>
    <t xml:space="preserve">Önkorm.tul.bérbeadandó lakások felújítása </t>
  </si>
  <si>
    <t xml:space="preserve">BUDÉP KFT.  Címjegyzékes felúj. munkák </t>
  </si>
  <si>
    <t xml:space="preserve">BUDÉP KFT.  Címjegyzékes felúj. munkák bonyolítási díja </t>
  </si>
  <si>
    <t xml:space="preserve">BUDÉP KFT.  Társasház felújítás </t>
  </si>
  <si>
    <t xml:space="preserve">BUDÉP KFT.  Társasház felújítás bonyolítási díj </t>
  </si>
  <si>
    <t xml:space="preserve">Faültetés </t>
  </si>
  <si>
    <t xml:space="preserve">Privatizációból származó bevétel </t>
  </si>
  <si>
    <t xml:space="preserve"> </t>
  </si>
  <si>
    <t>összesen</t>
  </si>
  <si>
    <t>Önkor-</t>
  </si>
  <si>
    <t>mányzat</t>
  </si>
  <si>
    <t>Polgár-</t>
  </si>
  <si>
    <t>mesteri</t>
  </si>
  <si>
    <t>ügyi</t>
  </si>
  <si>
    <t>Egészség-</t>
  </si>
  <si>
    <t>Pénzforgalom nélküli bevételek</t>
  </si>
  <si>
    <t>Fősorok függőlegesen összesen:</t>
  </si>
  <si>
    <t>51, 52</t>
  </si>
  <si>
    <t>54, 55, 56</t>
  </si>
  <si>
    <t>583, 584</t>
  </si>
  <si>
    <t>126,  181111</t>
  </si>
  <si>
    <t>115,125,1315,
1325, 1821111</t>
  </si>
  <si>
    <t>391-396</t>
  </si>
  <si>
    <t>2. sz. melléklet</t>
  </si>
  <si>
    <t>1. sz. melléklet</t>
  </si>
  <si>
    <t>Egyéb saját bevételek</t>
  </si>
  <si>
    <t>Hozam- és kamatbevételek</t>
  </si>
  <si>
    <t xml:space="preserve">Felhalmozási célú pénzeszközátvétel államháztartáson kívülről </t>
  </si>
  <si>
    <t>Működési célú pénzeszközátvétel államháztartáson kívülről</t>
  </si>
  <si>
    <t>7. sz. tábla 2. oldal</t>
  </si>
  <si>
    <t>7. sz. tábla 3. oldal</t>
  </si>
  <si>
    <t>7. sz. tábla 5. oldal</t>
  </si>
  <si>
    <t xml:space="preserve">Működési célú pénzeszközátvétel államháztartáson kívülről </t>
  </si>
  <si>
    <t>VI.</t>
  </si>
  <si>
    <t xml:space="preserve">Kiadások összesen </t>
  </si>
  <si>
    <t xml:space="preserve">Bevételek összesen </t>
  </si>
  <si>
    <t xml:space="preserve"> Kiadás jogcíme</t>
  </si>
  <si>
    <t>1.1</t>
  </si>
  <si>
    <t>1.2</t>
  </si>
  <si>
    <t>922181, 182</t>
  </si>
  <si>
    <t>1.3</t>
  </si>
  <si>
    <t>1.4</t>
  </si>
  <si>
    <t>Költségvetési pénzmaradványt külön jogszabály
alapján módosító tétel ( ± )</t>
  </si>
  <si>
    <t>- az Egészségbiztosítási Alapból folyósított pénzmaradványa</t>
  </si>
  <si>
    <t>- Szabad pénzmaradvány</t>
  </si>
  <si>
    <t>Költségvetési bank-
számlák záróegyenlegei</t>
  </si>
  <si>
    <t>Pénztárak és betétköny-
vek záróegyenlegei</t>
  </si>
  <si>
    <t>Záró pénzkészlet  ( 1 + 2 )</t>
  </si>
  <si>
    <t>Költségvetési aktív kiegyenlítő
elszámolások záróegyenlege</t>
  </si>
  <si>
    <t>Költségvetési passzív kiegyenlítő
elszámolások záróegyenlegei (-)</t>
  </si>
  <si>
    <t>Költségvetési aktív átfutó
elszámolások záróegyenlege</t>
  </si>
  <si>
    <t>Rezsi költségek</t>
  </si>
  <si>
    <t>Villamos energia díj</t>
  </si>
  <si>
    <t>Rezsi költségek összesen</t>
  </si>
  <si>
    <t xml:space="preserve">I. Gondozási Központ </t>
  </si>
  <si>
    <t xml:space="preserve">II. Gondozási Központ </t>
  </si>
  <si>
    <t xml:space="preserve">III. Gondozási Központ </t>
  </si>
  <si>
    <t>Családsegítő Központ.</t>
  </si>
  <si>
    <t>Szolgálati garázsok vételár része</t>
  </si>
  <si>
    <t>FÉBÉ Diakonissza Egyesület</t>
  </si>
  <si>
    <t>Budai Irgalmasrendi Kórház</t>
  </si>
  <si>
    <t>Társbérlet megszüntetése</t>
  </si>
  <si>
    <r>
      <t xml:space="preserve">Pályázaton elnyert beruh. c. támogatás </t>
    </r>
    <r>
      <rPr>
        <sz val="12"/>
        <color indexed="9"/>
        <rFont val="Times New Roman CE"/>
        <family val="0"/>
      </rPr>
      <t>- KMOP-3.3.4/C-2008-0006</t>
    </r>
    <r>
      <rPr>
        <sz val="12"/>
        <rFont val="Times New Roman CE"/>
        <family val="1"/>
      </rPr>
      <t xml:space="preserve">
Környezetvédelmi információs rendszer</t>
    </r>
  </si>
  <si>
    <t>Költségvetési passzív átfutó
elszámolások záróegyenlege (-)</t>
  </si>
  <si>
    <t>Költségvetési aktív függő
elszámolások záróegyenlege</t>
  </si>
  <si>
    <t>Költségvetési passzív függő
elszámolások záróegyenlege (-)</t>
  </si>
  <si>
    <t>Egyéb aktív és passzív pénzügyi
elszámolások össz.( 4-5+6-7+8-9)</t>
  </si>
  <si>
    <t>Előző évben (években) képzett
tartalékok maradványa (-)</t>
  </si>
  <si>
    <t>Vállalkozási tevékenység
pénzforgalmi eredménye (-)</t>
  </si>
  <si>
    <t>Tárgyévi helyesbített
pénzmaradvány (3 ± 10-11-12)</t>
  </si>
  <si>
    <t>Intézményi költségvetési befizetés
többlettámogatás miatt</t>
  </si>
  <si>
    <t>Költségvetési befizetés
többlettámogatás miatt</t>
  </si>
  <si>
    <t>Költségvetési kiutalás - (int.fin)
kiutalatlan intézményi támogatás miatt</t>
  </si>
  <si>
    <t>Költségvetési kiutalás - (közp.tám.)
kiutalatlan támogatás miatt</t>
  </si>
  <si>
    <t>Pénzmaradványt terhelő elvonások</t>
  </si>
  <si>
    <t>Dombok Polgári Egyesület</t>
  </si>
  <si>
    <t>Költségvetési pénzmaradvány
(13 ± 14 ± 15 ± 16 ± 17 ± 18)</t>
  </si>
  <si>
    <t>A vállalk.tev.eredményéből alaptev.
ellátására felhasznált összeg</t>
  </si>
  <si>
    <t>Költségvetési pénzm-t külön jogszab.
alapján módosító tétel  ( ± )</t>
  </si>
  <si>
    <t>Módosított pénzmaradvány
(19+20 ± 21)</t>
  </si>
  <si>
    <t>A 19. sorból:</t>
  </si>
  <si>
    <t xml:space="preserve"> Személyi juttatások </t>
  </si>
  <si>
    <t xml:space="preserve"> Dologi  kiadások összesen </t>
  </si>
  <si>
    <t xml:space="preserve"> Támogatásértékű működési kiadások </t>
  </si>
  <si>
    <t xml:space="preserve"> Támogatásértékű felhalmozási kiadások </t>
  </si>
  <si>
    <t xml:space="preserve"> Felhalmozási célú pénzeszköz átadások</t>
  </si>
  <si>
    <t>Társadalom-, szociálpolitikai és egyéb juttatás, támogatás</t>
  </si>
  <si>
    <t xml:space="preserve"> Általános tartalék </t>
  </si>
  <si>
    <t xml:space="preserve"> Működési céltartalék </t>
  </si>
  <si>
    <t xml:space="preserve"> Felhalmozási céltartalék</t>
  </si>
  <si>
    <t xml:space="preserve">Felújítási kiadások összesen </t>
  </si>
  <si>
    <t xml:space="preserve"> Működési célú pénzeszköz átadások</t>
  </si>
  <si>
    <t>Társadalombiztosítási alapoktól és kezelőitől</t>
  </si>
  <si>
    <t>Előző évi fel nem használt pályázati tám. visszafiz. non-profit szervektől</t>
  </si>
  <si>
    <t>Munkaadókat</t>
  </si>
  <si>
    <t>Egyéb</t>
  </si>
  <si>
    <t>Ellátottak</t>
  </si>
  <si>
    <t>kiadások</t>
  </si>
  <si>
    <t>4. sz. melléklet 2. oldal</t>
  </si>
  <si>
    <t>4. sz. tábla 2. oldal</t>
  </si>
  <si>
    <t>4. sz. melléklet 3. oldal</t>
  </si>
  <si>
    <t>4. sz. melléklet 5. oldal</t>
  </si>
  <si>
    <t>4. sz. tábla 3. oldal</t>
  </si>
  <si>
    <t>4. sz. tábla 5. oldal</t>
  </si>
  <si>
    <t>4. sz. melléklet 6. oldal</t>
  </si>
  <si>
    <t>Támogatásértékű felhalmozási bevételek:</t>
  </si>
  <si>
    <t>12. sz. melléklet</t>
  </si>
  <si>
    <t>Ssz</t>
  </si>
  <si>
    <t xml:space="preserve">2010. évi </t>
  </si>
  <si>
    <t>Képződés</t>
  </si>
  <si>
    <t>Előző évi gyámhivatali megtérülések</t>
  </si>
  <si>
    <t>Felhasználás</t>
  </si>
  <si>
    <t xml:space="preserve"> előirányzat</t>
  </si>
  <si>
    <t>Előző évi, felhalmozási célú eir.m,pm. átadás int-knek</t>
  </si>
  <si>
    <t>Gyalogátkelő helyek kialakítása (Gábor Á., Bimbó út, Tüske u., Ürömi út)</t>
  </si>
  <si>
    <t>Behajtásgátló eszközök telepítése</t>
  </si>
  <si>
    <t>Működési költségvetési bevételek</t>
  </si>
  <si>
    <t>Számítógépek vásárlása</t>
  </si>
  <si>
    <t>Idegenforgalmi adó</t>
  </si>
  <si>
    <t>3.2</t>
  </si>
  <si>
    <t>6.1</t>
  </si>
  <si>
    <t>6.2</t>
  </si>
  <si>
    <t>6.3</t>
  </si>
  <si>
    <t>Költségvetési kiadások  összesen</t>
  </si>
  <si>
    <t>K I A D Á S O K   Ö S S Z E S E N :</t>
  </si>
  <si>
    <t>Személyi jövedelemadó helyben maradó része</t>
  </si>
  <si>
    <t>2.3</t>
  </si>
  <si>
    <t>Bírságok, pótlékok és egyéb sajátos bevételek</t>
  </si>
  <si>
    <t>Közterületi átalánydíj</t>
  </si>
  <si>
    <t>Tárgyi eszközök, immateriális javak értékesítése</t>
  </si>
  <si>
    <t xml:space="preserve">  Nem lakáscélú helyiségek értékesítése </t>
  </si>
  <si>
    <t xml:space="preserve">  Üres, nem lakáscélú helyiségek értékesítése </t>
  </si>
  <si>
    <t>I. sz. Gondozási Központ összesen:</t>
  </si>
  <si>
    <t>Családsegítő és Gyermekjóléti Szolgálat összesen:</t>
  </si>
  <si>
    <t>eredeti kiadási</t>
  </si>
  <si>
    <t>érvényes kiadási</t>
  </si>
  <si>
    <t xml:space="preserve"> Bevétel jogcíme</t>
  </si>
  <si>
    <t>3. sz. melléklet</t>
  </si>
  <si>
    <t>Pedagógiai szakszolgálat - 8 hó</t>
  </si>
  <si>
    <t>Pedagógiai szakszolgálat - 4 hó</t>
  </si>
  <si>
    <t>ezer Ft-ban</t>
  </si>
  <si>
    <t>Gáz és távhő díj</t>
  </si>
  <si>
    <t>Önállóan működő költségvetési szervek</t>
  </si>
  <si>
    <t>Szociális továbbképzés és szakvizsga támogatása</t>
  </si>
  <si>
    <t>7. sz. melléklet</t>
  </si>
  <si>
    <t>9. sz. melléklet</t>
  </si>
  <si>
    <t>10. sz. melléklet</t>
  </si>
  <si>
    <t>Budapest Főváros II. Kerületi Önkormányzat</t>
  </si>
  <si>
    <t>17. sz. melléklet</t>
  </si>
  <si>
    <t>Bevétel jogcíme</t>
  </si>
  <si>
    <t>II. sz. Gondozási Központ összesen:</t>
  </si>
  <si>
    <t>Mindössz.</t>
  </si>
  <si>
    <t>Központ</t>
  </si>
  <si>
    <t>Önkormányzati hozzájárulás árvízi védekezéshez</t>
  </si>
  <si>
    <t>Alpolgármester támogatásértékű működési kiadásai</t>
  </si>
  <si>
    <t>Klebelsberg Intézményfenntartó Központ Bp. II. Tankerülete</t>
  </si>
  <si>
    <t xml:space="preserve">Családsegítő és Gyermekjóléti Központ </t>
  </si>
  <si>
    <t>Előző évi fel nem használt pályázati tám. visszafiz. vállakozástól</t>
  </si>
  <si>
    <t>Önkormányzati lakásért fizetett térítési keret</t>
  </si>
  <si>
    <t>Útépítési munkák elvégzésére</t>
  </si>
  <si>
    <t>Pályázaton elnyert beruh.c. támogatás 
Törökvész úti Bölcsőde bővítése KMOP-4.5.2-11-2011-0004</t>
  </si>
  <si>
    <t xml:space="preserve">Pályázaton elnyert beruh.c. támogatás 
Szemlőhegy u.Óvoda fejlesztése KMOP-4.6.1. </t>
  </si>
  <si>
    <t>Pályázaton elnyert beruh.c. támogatás KEOP-2007-5.1.0 
Energetikai hatékonyság fokozása - Fillér utcai Általános Iskola</t>
  </si>
  <si>
    <t>Előző évi fel nem használt pályázati tám. visszafiz. egyházaktól</t>
  </si>
  <si>
    <t>Záró pénzkészlet</t>
  </si>
  <si>
    <t>Forgóeszközök összesen</t>
  </si>
  <si>
    <t>Kötelezettségek összesen</t>
  </si>
  <si>
    <t xml:space="preserve">Eszközök összesen </t>
  </si>
  <si>
    <t>Források összesen</t>
  </si>
  <si>
    <t>Sor</t>
  </si>
  <si>
    <t>M e g n e v e z é s</t>
  </si>
  <si>
    <t>Érvényes eir.</t>
  </si>
  <si>
    <t>l</t>
  </si>
  <si>
    <t>m</t>
  </si>
  <si>
    <t>Céltámogatás összesen:</t>
  </si>
  <si>
    <t>Polgármesteri Hivatal összesen</t>
  </si>
  <si>
    <t>Működési céltartalék</t>
  </si>
  <si>
    <t>Srsz</t>
  </si>
  <si>
    <t>Szennyvízelvezetés és kezelés összesen:</t>
  </si>
  <si>
    <t>Sorsz.</t>
  </si>
  <si>
    <t>A</t>
  </si>
  <si>
    <t>B</t>
  </si>
  <si>
    <t>Budavári Evangélikus Gyülekezet</t>
  </si>
  <si>
    <t>Felújítási kiadások</t>
  </si>
  <si>
    <t>Kisebb csatornák</t>
  </si>
  <si>
    <t>16-os űrlap 47. sora</t>
  </si>
  <si>
    <r>
      <t xml:space="preserve"> </t>
    </r>
    <r>
      <rPr>
        <i/>
        <sz val="10"/>
        <rFont val="Times New Roman CE"/>
        <family val="0"/>
      </rPr>
      <t>Kiürült önk-i építmények értékesítése</t>
    </r>
  </si>
  <si>
    <t>KAPOTT TÁMOGATÁSOK</t>
  </si>
  <si>
    <t xml:space="preserve">I. Immateriális javak </t>
  </si>
  <si>
    <t xml:space="preserve">II. Tárgyi eszközök </t>
  </si>
  <si>
    <t>III. Befektetett pü-i eszközök</t>
  </si>
  <si>
    <t>I. Költségvetési tartalékok</t>
  </si>
  <si>
    <t>II. Vállalkozási tartalékok</t>
  </si>
  <si>
    <t xml:space="preserve">I. Készletek </t>
  </si>
  <si>
    <t xml:space="preserve">II. Követelések </t>
  </si>
  <si>
    <t xml:space="preserve">III. Értékpapírok </t>
  </si>
  <si>
    <t>I. Hosszú lejáratú kötelezettségek</t>
  </si>
  <si>
    <t xml:space="preserve">IV. Pénzeszközök </t>
  </si>
  <si>
    <t>II. Rövid lejáratú kötelezettségek</t>
  </si>
  <si>
    <t>III. Egyéb passzív pü-i elszámolások</t>
  </si>
  <si>
    <t>Önkormányzat feladatai összesen</t>
  </si>
  <si>
    <t>7. sz. tábla a     /2013. (        )</t>
  </si>
  <si>
    <t>II. kerület mindöszesen</t>
  </si>
  <si>
    <t>Működési költségvetési kiadások</t>
  </si>
  <si>
    <t>Felhalmozási  bevételek</t>
  </si>
  <si>
    <t>Működési célú kölcsön visszatérülése</t>
  </si>
  <si>
    <t>Felhalmozási célú kölcsön visszatérülése</t>
  </si>
  <si>
    <t>9.1.</t>
  </si>
  <si>
    <t>9.2.</t>
  </si>
  <si>
    <t>Budapest Főváros II. Kerületi Önkormányzat 2013. évi kiadási előirányzatai és teljesítései feladatonkénti bontásban</t>
  </si>
  <si>
    <t xml:space="preserve">Felhalmozási hitel  törlesztése  </t>
  </si>
  <si>
    <t>Finanszírozási kiadások összesen</t>
  </si>
  <si>
    <t xml:space="preserve">Helyi közutak, </t>
  </si>
  <si>
    <t>közterek és parkok</t>
  </si>
  <si>
    <t>Közterület-felügyelet</t>
  </si>
  <si>
    <t xml:space="preserve">Településrendezés, </t>
  </si>
  <si>
    <t>településfejlesztés</t>
  </si>
  <si>
    <t xml:space="preserve">Turizmussal kapcsolatos </t>
  </si>
  <si>
    <t>Egészségügyi alapellátás</t>
  </si>
  <si>
    <t>Óvodai ellátás</t>
  </si>
  <si>
    <t>Hajléktalan ellátás</t>
  </si>
  <si>
    <t>Saját tul.lakás- és helyiséggazdálkodás</t>
  </si>
  <si>
    <t xml:space="preserve">Helyi adóval kapcsolatos </t>
  </si>
  <si>
    <t>Sport és szabadidő tevékenység</t>
  </si>
  <si>
    <t>Helyi közbiztonság</t>
  </si>
  <si>
    <t>Nemzetiségek támogatása</t>
  </si>
  <si>
    <t xml:space="preserve">Oktatási intézmények </t>
  </si>
  <si>
    <t>működtetése, fejlesztése</t>
  </si>
  <si>
    <t xml:space="preserve">Egyéb, jogszab.alapján </t>
  </si>
  <si>
    <t>kötelező feladat</t>
  </si>
  <si>
    <t>Önk-i egyéb vagyonnal</t>
  </si>
  <si>
    <t>való gazdálkodás</t>
  </si>
  <si>
    <t>Belföldi államkötvények értékesítése</t>
  </si>
  <si>
    <t xml:space="preserve">Pótlékok és bírságok (helyi adók után, eljárási bírság) </t>
  </si>
  <si>
    <t>Talajterhelési díj</t>
  </si>
  <si>
    <t xml:space="preserve">  Egyéb ingatlan értékesítése</t>
  </si>
  <si>
    <t>Központosított támogatás összesen</t>
  </si>
  <si>
    <t>Környezetvédelmi bírság</t>
  </si>
  <si>
    <t>d</t>
  </si>
  <si>
    <t>Közműfejlesztési támogatás lakosságtól</t>
  </si>
  <si>
    <t>Intézményi működési kiadások</t>
  </si>
  <si>
    <t xml:space="preserve">  Oktatásfejlesztési Keret</t>
  </si>
  <si>
    <t xml:space="preserve">  Közművelődési Keret</t>
  </si>
  <si>
    <t xml:space="preserve">  Sport- és Tömegsport Keret</t>
  </si>
  <si>
    <t xml:space="preserve">  Szociálpolitikai Keret</t>
  </si>
  <si>
    <t xml:space="preserve">  Környezetvédelmi Keret</t>
  </si>
  <si>
    <t>Adójutalék</t>
  </si>
  <si>
    <t>Várakozóhelyek megváltása</t>
  </si>
  <si>
    <t>Építményadó</t>
  </si>
  <si>
    <t>MŰKÖDÉSI BEVÉTELEK</t>
  </si>
  <si>
    <t>Polgármester saját kerete</t>
  </si>
  <si>
    <t>Társasházak felújítási támogatása</t>
  </si>
  <si>
    <t>jogcíme</t>
  </si>
  <si>
    <t>Don Bosco Nővérek Szent Család Óvodája</t>
  </si>
  <si>
    <t>c</t>
  </si>
  <si>
    <t xml:space="preserve">Helyi támogatás </t>
  </si>
  <si>
    <t>V. Egyéb aktív pénzügyi elszámolások</t>
  </si>
  <si>
    <t>A/ Befektetett eszközök</t>
  </si>
  <si>
    <t>I. Tartós tőke</t>
  </si>
  <si>
    <t>II. Tőkeváltozások</t>
  </si>
  <si>
    <t>III. Értékelési tartalék</t>
  </si>
  <si>
    <t>Hosszú lejáratú hitelek törlesztése</t>
  </si>
  <si>
    <t>Rövid lejáratú hitelek törlesztése</t>
  </si>
  <si>
    <t>Finanszírozási bevételek összesen: (37+38+ 40+41)</t>
  </si>
  <si>
    <t>Pénzforgalmi bevételek (36+42)</t>
  </si>
  <si>
    <t xml:space="preserve">Budapest Főváros II. kerületének Önkormányzata 2012. évi normativ, kötött felhasználású támogatások </t>
  </si>
  <si>
    <t>Pedagógus továbbképzés támogatása - 8 hó</t>
  </si>
  <si>
    <t>Pedagógus továbbképzés támogatása - 4 hó</t>
  </si>
  <si>
    <t>Osztályfőnöki pótlék kiegészítése - 8 hó</t>
  </si>
  <si>
    <t>Osztályfőnöki pótlék kiegészítése - 4 hó</t>
  </si>
  <si>
    <t>Gyógypedagógiai pótlék kiegészítése - 8 hó</t>
  </si>
  <si>
    <t>Gyógypedagógiai pótlék kiegészítése - 4 hó</t>
  </si>
  <si>
    <t>Kedvezményes óvodai, iskolai, kollégiumi étkeztetés</t>
  </si>
  <si>
    <t>Szakmai, tanügyig-i informatikai feladatok tám. - 8 hó</t>
  </si>
  <si>
    <t>Szakmai, tanügyig-i informatikai feladatok tám. - 4 hó</t>
  </si>
  <si>
    <t>Ingyenes tankönyvellátás</t>
  </si>
  <si>
    <t>Ingyenes bölcsődei étkeztetés</t>
  </si>
  <si>
    <t>Önállóan</t>
  </si>
  <si>
    <t>működő</t>
  </si>
  <si>
    <t>intézmények</t>
  </si>
  <si>
    <t>Hvölgyi</t>
  </si>
  <si>
    <t>Szemlő-</t>
  </si>
  <si>
    <t>Törökvész</t>
  </si>
  <si>
    <t>Egyesített</t>
  </si>
  <si>
    <t xml:space="preserve">Budakeszi </t>
  </si>
  <si>
    <t>Gesztenyés-</t>
  </si>
  <si>
    <t>Kitaibel</t>
  </si>
  <si>
    <t>Kolozsvár</t>
  </si>
  <si>
    <t>Községház</t>
  </si>
  <si>
    <t xml:space="preserve">Pitypang </t>
  </si>
  <si>
    <t>hegy</t>
  </si>
  <si>
    <t>úti</t>
  </si>
  <si>
    <t>Virág</t>
  </si>
  <si>
    <t>Család-</t>
  </si>
  <si>
    <t>I. sz.</t>
  </si>
  <si>
    <t>II. sz.</t>
  </si>
  <si>
    <t>III. sz.</t>
  </si>
  <si>
    <t>Bölcsődék</t>
  </si>
  <si>
    <t>Óvoda</t>
  </si>
  <si>
    <t>kert</t>
  </si>
  <si>
    <t>u-i</t>
  </si>
  <si>
    <t>Kézműves</t>
  </si>
  <si>
    <t>Árok</t>
  </si>
  <si>
    <t>segítő</t>
  </si>
  <si>
    <t>Gondozási</t>
  </si>
  <si>
    <t>Kp.</t>
  </si>
  <si>
    <t>4. sz. tábla 4. oldal</t>
  </si>
  <si>
    <t xml:space="preserve">Működési célú támogatás Áht-n belülről </t>
  </si>
  <si>
    <t>Működtetett int-k előző évi EU támogatásainak továbbutalása</t>
  </si>
  <si>
    <t>Közbiztonsági feladatok ösztönzése</t>
  </si>
  <si>
    <t>Működési célú pénzeszközátadás háztartásoknak</t>
  </si>
  <si>
    <t>Polgármester támogatása egyéb vállalkozásoknak</t>
  </si>
  <si>
    <t>Alpolgármester támogatása egyéb vállalkozásoknak</t>
  </si>
  <si>
    <t>ELMÜ - szolgáltatóváltás miatt</t>
  </si>
  <si>
    <t>Közcélú fogl. támogatás (2012.évre Budenz J.Á.I.G.Munkaügyi Kp-tól)</t>
  </si>
  <si>
    <t>Itthon vagy-Magyarország, szeretlek! programsorozat  támogatása</t>
  </si>
  <si>
    <t>Idősügyi programok támogatására (EMMI)</t>
  </si>
  <si>
    <t>TÁMOP 3.1.5 és 3.1.7 támogatás Budenz J.Ált.Isk.és Gimn.részére</t>
  </si>
  <si>
    <t>Közbiztonsági Alapítvány - Közbiztonsági feladatok ösztönzésére</t>
  </si>
  <si>
    <t>II. Kerületi Kulturális Közhasznú Nonprofit Kft. felh. tám.</t>
  </si>
  <si>
    <t>Kodály Z. Ének-Zenei Ált.Isk.,Gimn.és Zeneiskola tornatermi vizesblokkok felújítása</t>
  </si>
  <si>
    <t>Fillér utca 70-76. szám alatti Általános Iskola sportpálya korszerűsítése</t>
  </si>
  <si>
    <t>Buday L. u. 5/c</t>
  </si>
  <si>
    <t>Járművek felújítása</t>
  </si>
  <si>
    <t>w</t>
  </si>
  <si>
    <t>Csatárka u.-Csalit u.-Szikla u.határolt közterület fejlesztése pályázat</t>
  </si>
  <si>
    <t>x</t>
  </si>
  <si>
    <t>Nagy Lajos park rekonstrukció fejlesztési pályázat</t>
  </si>
  <si>
    <t>y</t>
  </si>
  <si>
    <t>Hidegkúti temetkezési emlékhely kialakítása</t>
  </si>
  <si>
    <t>Sportpályák csapadékvíz elvezetése</t>
  </si>
  <si>
    <t>Hidegkúti sportpályák tervezése</t>
  </si>
  <si>
    <t>Sport és szabadidő tevékenység összesen:</t>
  </si>
  <si>
    <t>Pitypang Utcai Iskola mosogatógép beszerzés</t>
  </si>
  <si>
    <t>Járdányi Pál Zeneiskola eszköz beszerzés</t>
  </si>
  <si>
    <t>Frankel L. u. 7-9.   irattári fűtés kialakítása</t>
  </si>
  <si>
    <t>Járdatisztító gépek vásárlása</t>
  </si>
  <si>
    <t>Hulladékgazdálkodás és környezetvédelem összesen:</t>
  </si>
  <si>
    <t>Gül Baba türbe komplex rekonstrukciós és hasznosítási javaslat koncepció terv elkészítése</t>
  </si>
  <si>
    <t>Digitális térképek felhasználási joga</t>
  </si>
  <si>
    <t>TÁMOP 3.1.7 támogatás II.Rákóczi Ferenc Gimnázium részére</t>
  </si>
  <si>
    <t>PH. visszafizetési kötelezettsége Önk. felé</t>
  </si>
  <si>
    <t>Budapest Főváros II. Kerületi Önkormányzat által fenntartott önállóan működő költségvetési szerveinek 2013.évi  kiadási előirányzatainak december 31-ei teljesítése és létszámadatai</t>
  </si>
  <si>
    <t>Foglalkoztatottak</t>
  </si>
  <si>
    <t>december</t>
  </si>
  <si>
    <t>31-én.</t>
  </si>
  <si>
    <t>dec. 31-én.</t>
  </si>
  <si>
    <t xml:space="preserve">Budapest Főváros II. Kerületi Önkormányzat által fenntartott önállóan működő költségvetési szerveinek 2013. évi bevételi előirányzatainak december 31-ei teljesítése </t>
  </si>
  <si>
    <t>Budapest Főváros II. Kerületi Önkormányzat által fenntartott önállóan működő költségvetési szerveinek a dologi kiadásaikon belül, céljelleggel biztosított 2013. évi előirányzatainak december 31-ei  teljesítése</t>
  </si>
  <si>
    <t xml:space="preserve">Budapest Főváros II. Kerületi Önkormányzat által működtetett intézmények 2013. évi kiadási előirányzatainak december 31-ei teljesítése </t>
  </si>
  <si>
    <t xml:space="preserve">Budapest Főváros II. Kerületi Önkormányzat által működtetett intézmények 2013. évi  bevételi előirányzatainak december 31-ei teljesítése </t>
  </si>
  <si>
    <t>Budapest Főváros II. Kerületi Önkormányzat által működtetett intézményeinek a dologi kiadásaikon belül, céljelleggel biztosított 2013. évi előirányzatainak december 31-ei teljesítése</t>
  </si>
  <si>
    <t>Labanc u.óvoda kazán csere</t>
  </si>
  <si>
    <t>Csoportszobák előtti teraszok burkolat cseréje</t>
  </si>
  <si>
    <t>Járda felújítás</t>
  </si>
  <si>
    <t>Virágárok Óvoda összesen:</t>
  </si>
  <si>
    <t>Vadaskerti út. 13. épület udvarának rendezése, járda, kapu felújítása</t>
  </si>
  <si>
    <t xml:space="preserve">Bútor, kötelező eszköz, gép, berendezés, informatikai eszköz beszerzés </t>
  </si>
  <si>
    <t>Tagóvodák eszköz beszerzése</t>
  </si>
  <si>
    <t>Bölcsödei beruházások</t>
  </si>
  <si>
    <t>Automata refraktométer - Kapás u. Szemészet</t>
  </si>
  <si>
    <t>Röntgen cső, Kapás utcai központi röntgen</t>
  </si>
  <si>
    <t>Sugárérzékeny foszforlemez és hozzátartozó kazetták beszerzése</t>
  </si>
  <si>
    <t>Üdülőhelyi feladatok támogatása</t>
  </si>
  <si>
    <t>Lakott külterülettel kapcsolatos feladatok támogatása</t>
  </si>
  <si>
    <t>A 2012. évről áthúzódó bérkompenzáció támogatása</t>
  </si>
  <si>
    <t>A kv-i szerveknél foglalkoztatottak 2013. évi kompenzációja</t>
  </si>
  <si>
    <t xml:space="preserve">Természetben nyújtott szociális ellátások bevétele </t>
  </si>
  <si>
    <t>20. sz. tábla a     /2014. (        )</t>
  </si>
  <si>
    <t>Ált.és Műk.tart.ide?!</t>
  </si>
  <si>
    <t>Felh.tart.ide?!</t>
  </si>
  <si>
    <t xml:space="preserve">Munkaadókat terhelő járulékok és szociális hozzájárulási adó </t>
  </si>
  <si>
    <t>EZ A TARTALÉKOK helye!!!</t>
  </si>
  <si>
    <t>Budapest Főváros II. kerületi Önkormányzat - 2013. évi központosított támogatások elszámolása</t>
  </si>
  <si>
    <t>15-ből likvid hitelek kiadása</t>
  </si>
  <si>
    <t>38-ból likvid hitelek bevétele</t>
  </si>
  <si>
    <t>Vállalkozási maradványból az alaptevékenység
ellátására felhasznált összeg</t>
  </si>
  <si>
    <t>Pasaréti rendelő bejárati ajtó felújítása</t>
  </si>
  <si>
    <t>Működtető</t>
  </si>
  <si>
    <t>Budapest Főváros II. kerületi Önkormányzat 2013.évi  mérlege</t>
  </si>
  <si>
    <t xml:space="preserve">Budapest Főváros II. kerületi Önkormányzat 2013. évi  pénzforgalmi jelentése         </t>
  </si>
  <si>
    <t>Budapest Főváros II. kerületi Önkormányzat 2013. évi   pénzmaradvány kimutatása</t>
  </si>
  <si>
    <r>
      <t xml:space="preserve">Budapest Főváros II. kerületi Önkormányzat </t>
    </r>
    <r>
      <rPr>
        <b/>
        <u val="single"/>
        <sz val="12"/>
        <rFont val="Times New Roman CE"/>
        <family val="0"/>
      </rPr>
      <t>Intézményeinek</t>
    </r>
    <r>
      <rPr>
        <b/>
        <sz val="12"/>
        <rFont val="Times New Roman CE"/>
        <family val="1"/>
      </rPr>
      <t xml:space="preserve"> 2013.évi  pénzmaradvány kimutatása</t>
    </r>
  </si>
  <si>
    <t>2013.évi pénzmaradvány  kimutatása</t>
  </si>
  <si>
    <t>1. sz. tábla a  8 / 2014. ( IV. 30. )</t>
  </si>
  <si>
    <t>2. sz. tábla a  8 / 2014. ( IV. 30. )</t>
  </si>
  <si>
    <t>3. sz. tábla a  8 / 2014. ( IV. 30. )</t>
  </si>
  <si>
    <t>4. sz. tábla a  8 / 2014. ( IV. 30. )</t>
  </si>
  <si>
    <t>6. sz. tábla a  8 / 2014. ( IV. 30. )</t>
  </si>
  <si>
    <t>6. sz. tábla 2. oldal a  8 / 2014. ( IV. 30. )</t>
  </si>
  <si>
    <t>7. sz. tábla a  8 / 2014. ( IV. 30. )</t>
  </si>
  <si>
    <t>8. sz. tábla a  8 / 2014. ( IV. 30. )</t>
  </si>
  <si>
    <t>8. sz. tábla 2. oldal a  8 / 2014. ( IV. 30. )</t>
  </si>
  <si>
    <t>8/a. sz. tábla a  8 / 2014. ( IV. 30. )</t>
  </si>
  <si>
    <t>9. sz. tábla a  8 / 2014. ( IV. 30. )</t>
  </si>
  <si>
    <t>10. sz. tábla a  8 / 2014. ( IV. 30. )</t>
  </si>
  <si>
    <t>11. sz. tábla a  8 / 2014. ( IV. 30. )</t>
  </si>
  <si>
    <t>12. sz. tábla a  8 / 2014. ( IV. 30. )</t>
  </si>
  <si>
    <t>13. sz. tábla a  8 / 2014. ( IV. 30. )</t>
  </si>
  <si>
    <t>14. sz. tábla a  8 / 2014. ( IV. 30. )</t>
  </si>
  <si>
    <t>15. sz. tábla a  8 / 2014. ( IV. 30. )</t>
  </si>
  <si>
    <t>17. sz. tábla a  8 / 2014. ( IV. 30. )</t>
  </si>
  <si>
    <t>18. sz. tábla a  8 / 2014. ( IV. 30. )</t>
  </si>
  <si>
    <t>19. sz. tábla a  8 / 2014. ( IV. 30. )</t>
  </si>
  <si>
    <t>19. sz. tábla 2. oldal a  8 / 2014. ( IV. 30. )</t>
  </si>
  <si>
    <t>19. sz. tábla 3. oldal a  8 / 2014. ( IV. 30. )</t>
  </si>
  <si>
    <t>19. sz. tábla 4. oldal a  8 / 2014. ( IV. 30. )</t>
  </si>
  <si>
    <t>Százszor-</t>
  </si>
  <si>
    <t>szép</t>
  </si>
  <si>
    <t>Intézmé-nyeket</t>
  </si>
  <si>
    <t>16. sz. tábla a  8 / 2014. ( IV. 30. )</t>
  </si>
  <si>
    <r>
      <t xml:space="preserve">Budapest Főváros II. kerületi Önkormányzat által fenntartott </t>
    </r>
    <r>
      <rPr>
        <b/>
        <sz val="12"/>
        <rFont val="Times New Roman CE"/>
        <family val="1"/>
      </rPr>
      <t xml:space="preserve"> </t>
    </r>
  </si>
  <si>
    <t>önállóan működő intézményeinek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</si>
</sst>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yyyy/mm/dd;@"/>
    <numFmt numFmtId="167" formatCode="#,##0.000"/>
    <numFmt numFmtId="168" formatCode="yyyy\-mm\-dd"/>
    <numFmt numFmtId="169" formatCode="0.00000%"/>
    <numFmt numFmtId="170" formatCode="_-* #,##0.00\ _F_t_-;\-* #,##0.00\ _F_t_-;_-* \-??\ _F_t_-;_-@_-"/>
    <numFmt numFmtId="171" formatCode="_(* #,##0_);_(* \(#,##0\);_(* \-??_);_(@_)"/>
    <numFmt numFmtId="172" formatCode="_(* #,##0.0_);_(* \(#,##0.0\);_(* \-??_);_(@_)"/>
    <numFmt numFmtId="173" formatCode="_(* #,##0.00_);_(* \(#,##0.00\);_(* \-??_);_(@_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_ ;[Red]\-#,##0\ "/>
    <numFmt numFmtId="178" formatCode="#,##0&quot;Ft&quot;;\-#,##0&quot;Ft&quot;"/>
    <numFmt numFmtId="179" formatCode="#,##0&quot;Ft&quot;;[Red]\-#,##0&quot;Ft&quot;"/>
    <numFmt numFmtId="180" formatCode="#,##0.00&quot;Ft&quot;;\-#,##0.00&quot;Ft&quot;"/>
    <numFmt numFmtId="181" formatCode="#,##0.00&quot;Ft&quot;;[Red]\-#,##0.00&quot;Ft&quot;"/>
    <numFmt numFmtId="182" formatCode="_-* #,##0&quot;Ft&quot;_-;\-* #,##0&quot;Ft&quot;_-;_-* &quot;-&quot;&quot;Ft&quot;_-;_-@_-"/>
    <numFmt numFmtId="183" formatCode="_-* #,##0_F_t_-;\-* #,##0_F_t_-;_-* &quot;-&quot;_F_t_-;_-@_-"/>
    <numFmt numFmtId="184" formatCode="_-* #,##0.00&quot;Ft&quot;_-;\-* #,##0.00&quot;Ft&quot;_-;_-* &quot;-&quot;??&quot;Ft&quot;_-;_-@_-"/>
    <numFmt numFmtId="185" formatCode="_-* #,##0.00_F_t_-;\-* #,##0.00_F_t_-;_-* &quot;-&quot;??_F_t_-;_-@_-"/>
    <numFmt numFmtId="186" formatCode="#,##0&quot; Ft&quot;;\-#,##0&quot; Ft&quot;"/>
    <numFmt numFmtId="187" formatCode="#,##0&quot; Ft&quot;;[Red]\-#,##0&quot; Ft&quot;"/>
    <numFmt numFmtId="188" formatCode="#,##0.00&quot; Ft&quot;;\-#,##0.00&quot; Ft&quot;"/>
    <numFmt numFmtId="189" formatCode="#,##0.00&quot; Ft&quot;;[Red]\-#,##0.00&quot; Ft&quot;"/>
    <numFmt numFmtId="190" formatCode="0__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#\ ?/?"/>
    <numFmt numFmtId="204" formatCode="#\ ??/??"/>
    <numFmt numFmtId="205" formatCode="0.000"/>
    <numFmt numFmtId="206" formatCode="0.0000"/>
    <numFmt numFmtId="207" formatCode="0.00000"/>
    <numFmt numFmtId="208" formatCode="#,##0.0_)"/>
    <numFmt numFmtId="209" formatCode="#,##0.0;\-#,##0.0"/>
    <numFmt numFmtId="210" formatCode="#,##0.0\ \ "/>
    <numFmt numFmtId="211" formatCode="???,???,???,???,???,??0.0"/>
    <numFmt numFmtId="212" formatCode="#,##0.0\ _F_t;[Red]\-#,##0.0\ _F_t"/>
    <numFmt numFmtId="213" formatCode="General_)"/>
    <numFmt numFmtId="214" formatCode="#,##0_);\(#,##0\)"/>
    <numFmt numFmtId="215" formatCode="#,##0.00_ ;[Red]\-#,##0.00\ "/>
    <numFmt numFmtId="216" formatCode="#,##0.0000000000"/>
    <numFmt numFmtId="217" formatCode="#,##0.000_ ;[Red]\-#,##0.000\ "/>
    <numFmt numFmtId="218" formatCode="_-* #,##0.0\ _F_t_-;\-* #,##0.0\ _F_t_-;_-* \-??\ _F_t_-;_-@_-"/>
    <numFmt numFmtId="219" formatCode="_-* #,##0.000\ _F_t_-;\-* #,##0.000\ _F_t_-;_-* \-??\ _F_t_-;_-@_-"/>
    <numFmt numFmtId="220" formatCode="_-* #,##0.0000\ _F_t_-;\-* #,##0.0000\ _F_t_-;_-* \-??\ _F_t_-;_-@_-"/>
    <numFmt numFmtId="221" formatCode="_-* #,##0\ _F_t_-;\-* #,##0\ _F_t_-;_-* \-??\ _F_t_-;_-@_-"/>
    <numFmt numFmtId="222" formatCode="#,##0.0000"/>
  </numFmts>
  <fonts count="9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u val="single"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1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8.5"/>
      <name val="Times New Roman CE"/>
      <family val="1"/>
    </font>
    <font>
      <i/>
      <u val="single"/>
      <sz val="10"/>
      <name val="Times New Roman CE"/>
      <family val="1"/>
    </font>
    <font>
      <sz val="12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 CE"/>
      <family val="1"/>
    </font>
    <font>
      <i/>
      <sz val="12"/>
      <name val="Times New Roman CE"/>
      <family val="1"/>
    </font>
    <font>
      <i/>
      <sz val="12"/>
      <name val="Arial CE"/>
      <family val="0"/>
    </font>
    <font>
      <sz val="9"/>
      <name val="Arial CE"/>
      <family val="0"/>
    </font>
    <font>
      <sz val="9"/>
      <name val="MS Sans Serif"/>
      <family val="2"/>
    </font>
    <font>
      <b/>
      <u val="single"/>
      <sz val="12"/>
      <name val="Times New Roman CE"/>
      <family val="1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0"/>
    </font>
    <font>
      <sz val="14"/>
      <name val="Times New Roman CE"/>
      <family val="0"/>
    </font>
    <font>
      <i/>
      <sz val="11"/>
      <name val="Times New Roman CE"/>
      <family val="1"/>
    </font>
    <font>
      <sz val="9"/>
      <name val="Arial"/>
      <family val="2"/>
    </font>
    <font>
      <b/>
      <i/>
      <sz val="9"/>
      <name val="Times New Roman CE"/>
      <family val="0"/>
    </font>
    <font>
      <i/>
      <sz val="10"/>
      <name val="Arial Unicode MS"/>
      <family val="2"/>
    </font>
    <font>
      <b/>
      <i/>
      <sz val="11"/>
      <name val="Times New Roman CE"/>
      <family val="0"/>
    </font>
    <font>
      <b/>
      <sz val="7"/>
      <name val="Times New Roman CE"/>
      <family val="1"/>
    </font>
    <font>
      <b/>
      <sz val="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 CE"/>
      <family val="0"/>
    </font>
    <font>
      <sz val="10"/>
      <name val="Arial"/>
      <family val="2"/>
    </font>
    <font>
      <i/>
      <sz val="10"/>
      <color indexed="8"/>
      <name val="Times New Roman CE"/>
      <family val="0"/>
    </font>
    <font>
      <i/>
      <sz val="9"/>
      <name val="Times New Roman CE"/>
      <family val="1"/>
    </font>
    <font>
      <b/>
      <i/>
      <u val="single"/>
      <sz val="10"/>
      <name val="Times New Roman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3"/>
      <name val="Times New Roman CE"/>
      <family val="0"/>
    </font>
    <font>
      <sz val="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3"/>
      <name val="MS Sans Serif"/>
      <family val="0"/>
    </font>
    <font>
      <i/>
      <sz val="13"/>
      <name val="Times New Roman CE"/>
      <family val="1"/>
    </font>
    <font>
      <i/>
      <sz val="13"/>
      <name val="MS Sans Serif"/>
      <family val="0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0"/>
      <color indexed="10"/>
      <name val="Times New Roman CE"/>
      <family val="0"/>
    </font>
    <font>
      <sz val="8"/>
      <color rgb="FFFF0000"/>
      <name val="Times New Roman"/>
      <family val="1"/>
    </font>
    <font>
      <sz val="10"/>
      <color rgb="FFFF0000"/>
      <name val="Times New Roman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double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medium"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/>
      <top/>
      <bottom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double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double">
        <color indexed="8"/>
      </right>
      <top style="medium"/>
      <bottom style="medium"/>
    </border>
    <border>
      <left style="thin"/>
      <right style="double">
        <color indexed="8"/>
      </right>
      <top/>
      <bottom style="medium">
        <color indexed="8"/>
      </bottom>
    </border>
    <border>
      <left style="thin"/>
      <right style="double">
        <color indexed="8"/>
      </right>
      <top style="medium">
        <color indexed="8"/>
      </top>
      <bottom style="medium">
        <color indexed="8"/>
      </bottom>
    </border>
    <border>
      <left style="thin"/>
      <right style="double">
        <color indexed="8"/>
      </right>
      <top style="medium">
        <color indexed="8"/>
      </top>
      <bottom style="medium"/>
    </border>
    <border>
      <left style="thin"/>
      <right style="double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>
        <color indexed="63"/>
      </top>
      <bottom style="medium"/>
    </border>
    <border>
      <left style="thin"/>
      <right style="double">
        <color indexed="8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50" fillId="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58" fillId="6" borderId="0" applyNumberFormat="0" applyBorder="0" applyAlignment="0" applyProtection="0"/>
    <xf numFmtId="0" fontId="59" fillId="22" borderId="8" applyNumberFormat="0" applyAlignment="0" applyProtection="0"/>
    <xf numFmtId="0" fontId="8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5" borderId="0" applyNumberFormat="0" applyBorder="0" applyAlignment="0" applyProtection="0"/>
    <xf numFmtId="0" fontId="63" fillId="23" borderId="0" applyNumberFormat="0" applyBorder="0" applyAlignment="0" applyProtection="0"/>
    <xf numFmtId="0" fontId="64" fillId="22" borderId="1" applyNumberFormat="0" applyAlignment="0" applyProtection="0"/>
    <xf numFmtId="9" fontId="0" fillId="0" borderId="0" applyFont="0" applyFill="0" applyBorder="0" applyAlignment="0" applyProtection="0"/>
  </cellStyleXfs>
  <cellXfs count="2398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25" borderId="11" xfId="0" applyFont="1" applyFill="1" applyBorder="1" applyAlignment="1">
      <alignment/>
    </xf>
    <xf numFmtId="3" fontId="2" fillId="25" borderId="0" xfId="0" applyNumberFormat="1" applyFont="1" applyFill="1" applyAlignment="1">
      <alignment/>
    </xf>
    <xf numFmtId="0" fontId="2" fillId="25" borderId="1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1" fillId="25" borderId="0" xfId="0" applyFont="1" applyFill="1" applyAlignment="1">
      <alignment/>
    </xf>
    <xf numFmtId="0" fontId="2" fillId="25" borderId="13" xfId="0" applyFont="1" applyFill="1" applyBorder="1" applyAlignment="1">
      <alignment/>
    </xf>
    <xf numFmtId="0" fontId="2" fillId="25" borderId="0" xfId="0" applyFont="1" applyFill="1" applyAlignment="1">
      <alignment horizontal="centerContinuous"/>
    </xf>
    <xf numFmtId="0" fontId="2" fillId="25" borderId="0" xfId="0" applyFont="1" applyFill="1" applyAlignment="1">
      <alignment wrapText="1"/>
    </xf>
    <xf numFmtId="0" fontId="2" fillId="25" borderId="14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left"/>
    </xf>
    <xf numFmtId="0" fontId="3" fillId="25" borderId="13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7" fillId="25" borderId="19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17" fillId="25" borderId="21" xfId="0" applyFont="1" applyFill="1" applyBorder="1" applyAlignment="1">
      <alignment vertical="center"/>
    </xf>
    <xf numFmtId="0" fontId="4" fillId="25" borderId="11" xfId="0" applyFont="1" applyFill="1" applyBorder="1" applyAlignment="1">
      <alignment/>
    </xf>
    <xf numFmtId="0" fontId="4" fillId="25" borderId="14" xfId="0" applyFont="1" applyFill="1" applyBorder="1" applyAlignment="1">
      <alignment horizontal="center"/>
    </xf>
    <xf numFmtId="0" fontId="4" fillId="25" borderId="12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4" fillId="25" borderId="22" xfId="0" applyFont="1" applyFill="1" applyBorder="1" applyAlignment="1">
      <alignment horizontal="left"/>
    </xf>
    <xf numFmtId="0" fontId="4" fillId="25" borderId="0" xfId="0" applyFont="1" applyFill="1" applyAlignment="1">
      <alignment horizontal="center"/>
    </xf>
    <xf numFmtId="0" fontId="18" fillId="25" borderId="0" xfId="0" applyFont="1" applyFill="1" applyAlignment="1">
      <alignment/>
    </xf>
    <xf numFmtId="0" fontId="17" fillId="25" borderId="0" xfId="0" applyFont="1" applyFill="1" applyAlignment="1">
      <alignment horizontal="centerContinuous"/>
    </xf>
    <xf numFmtId="0" fontId="17" fillId="25" borderId="0" xfId="0" applyFont="1" applyFill="1" applyBorder="1" applyAlignment="1">
      <alignment horizontal="centerContinuous"/>
    </xf>
    <xf numFmtId="0" fontId="4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25" borderId="0" xfId="0" applyFont="1" applyFill="1" applyBorder="1" applyAlignment="1">
      <alignment wrapText="1"/>
    </xf>
    <xf numFmtId="0" fontId="9" fillId="25" borderId="0" xfId="0" applyFont="1" applyFill="1" applyAlignment="1">
      <alignment/>
    </xf>
    <xf numFmtId="0" fontId="3" fillId="25" borderId="23" xfId="0" applyFont="1" applyFill="1" applyBorder="1" applyAlignment="1">
      <alignment wrapText="1"/>
    </xf>
    <xf numFmtId="0" fontId="2" fillId="25" borderId="0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2" fillId="24" borderId="18" xfId="0" applyNumberFormat="1" applyFont="1" applyFill="1" applyBorder="1" applyAlignment="1">
      <alignment horizontal="right"/>
    </xf>
    <xf numFmtId="0" fontId="5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left"/>
    </xf>
    <xf numFmtId="0" fontId="9" fillId="25" borderId="18" xfId="0" applyFont="1" applyFill="1" applyBorder="1" applyAlignment="1">
      <alignment/>
    </xf>
    <xf numFmtId="3" fontId="2" fillId="25" borderId="22" xfId="0" applyNumberFormat="1" applyFont="1" applyFill="1" applyBorder="1" applyAlignment="1">
      <alignment horizontal="right"/>
    </xf>
    <xf numFmtId="3" fontId="2" fillId="24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25" borderId="22" xfId="0" applyNumberFormat="1" applyFont="1" applyFill="1" applyBorder="1" applyAlignment="1">
      <alignment horizontal="right" wrapText="1"/>
    </xf>
    <xf numFmtId="0" fontId="4" fillId="25" borderId="24" xfId="0" applyFont="1" applyFill="1" applyBorder="1" applyAlignment="1">
      <alignment horizontal="center"/>
    </xf>
    <xf numFmtId="0" fontId="16" fillId="25" borderId="0" xfId="0" applyFont="1" applyFill="1" applyBorder="1" applyAlignment="1">
      <alignment horizontal="left"/>
    </xf>
    <xf numFmtId="0" fontId="4" fillId="25" borderId="25" xfId="0" applyFont="1" applyFill="1" applyBorder="1" applyAlignment="1">
      <alignment horizontal="left"/>
    </xf>
    <xf numFmtId="0" fontId="4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left"/>
    </xf>
    <xf numFmtId="0" fontId="16" fillId="25" borderId="22" xfId="0" applyFont="1" applyFill="1" applyBorder="1" applyAlignment="1">
      <alignment horizontal="left"/>
    </xf>
    <xf numFmtId="3" fontId="4" fillId="25" borderId="22" xfId="0" applyNumberFormat="1" applyFont="1" applyFill="1" applyBorder="1" applyAlignment="1">
      <alignment horizontal="right"/>
    </xf>
    <xf numFmtId="3" fontId="2" fillId="25" borderId="18" xfId="0" applyNumberFormat="1" applyFont="1" applyFill="1" applyBorder="1" applyAlignment="1">
      <alignment horizontal="right"/>
    </xf>
    <xf numFmtId="0" fontId="5" fillId="25" borderId="22" xfId="0" applyFont="1" applyFill="1" applyBorder="1" applyAlignment="1">
      <alignment horizontal="left"/>
    </xf>
    <xf numFmtId="0" fontId="17" fillId="24" borderId="11" xfId="0" applyFont="1" applyFill="1" applyBorder="1" applyAlignment="1">
      <alignment horizontal="center"/>
    </xf>
    <xf numFmtId="3" fontId="4" fillId="24" borderId="22" xfId="0" applyNumberFormat="1" applyFont="1" applyFill="1" applyBorder="1" applyAlignment="1">
      <alignment/>
    </xf>
    <xf numFmtId="3" fontId="4" fillId="24" borderId="24" xfId="0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3" fontId="4" fillId="24" borderId="28" xfId="0" applyNumberFormat="1" applyFont="1" applyFill="1" applyBorder="1" applyAlignment="1">
      <alignment/>
    </xf>
    <xf numFmtId="3" fontId="4" fillId="24" borderId="27" xfId="0" applyNumberFormat="1" applyFont="1" applyFill="1" applyBorder="1" applyAlignment="1">
      <alignment/>
    </xf>
    <xf numFmtId="3" fontId="2" fillId="24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25" borderId="0" xfId="0" applyFont="1" applyFill="1" applyAlignment="1">
      <alignment/>
    </xf>
    <xf numFmtId="3" fontId="17" fillId="24" borderId="2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5" borderId="18" xfId="0" applyFont="1" applyFill="1" applyBorder="1" applyAlignment="1">
      <alignment horizontal="left"/>
    </xf>
    <xf numFmtId="3" fontId="2" fillId="25" borderId="22" xfId="0" applyNumberFormat="1" applyFont="1" applyFill="1" applyBorder="1" applyAlignment="1">
      <alignment wrapText="1"/>
    </xf>
    <xf numFmtId="3" fontId="3" fillId="25" borderId="29" xfId="0" applyNumberFormat="1" applyFont="1" applyFill="1" applyBorder="1" applyAlignment="1">
      <alignment wrapText="1"/>
    </xf>
    <xf numFmtId="0" fontId="9" fillId="25" borderId="22" xfId="0" applyFont="1" applyFill="1" applyBorder="1" applyAlignment="1">
      <alignment/>
    </xf>
    <xf numFmtId="3" fontId="19" fillId="25" borderId="22" xfId="0" applyNumberFormat="1" applyFont="1" applyFill="1" applyBorder="1" applyAlignment="1">
      <alignment horizontal="right" wrapText="1"/>
    </xf>
    <xf numFmtId="3" fontId="2" fillId="25" borderId="18" xfId="0" applyNumberFormat="1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Continuous"/>
    </xf>
    <xf numFmtId="0" fontId="2" fillId="0" borderId="35" xfId="0" applyNumberFormat="1" applyFont="1" applyFill="1" applyBorder="1" applyAlignment="1">
      <alignment horizontal="centerContinuous"/>
    </xf>
    <xf numFmtId="0" fontId="2" fillId="0" borderId="34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0" fontId="22" fillId="0" borderId="23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4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 horizontal="right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right"/>
    </xf>
    <xf numFmtId="0" fontId="2" fillId="25" borderId="42" xfId="0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25" borderId="0" xfId="0" applyFont="1" applyFill="1" applyAlignment="1">
      <alignment horizontal="right"/>
    </xf>
    <xf numFmtId="0" fontId="2" fillId="25" borderId="30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/>
    </xf>
    <xf numFmtId="0" fontId="2" fillId="25" borderId="44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10" fillId="25" borderId="25" xfId="0" applyFont="1" applyFill="1" applyBorder="1" applyAlignment="1">
      <alignment horizontal="left"/>
    </xf>
    <xf numFmtId="3" fontId="10" fillId="25" borderId="18" xfId="0" applyNumberFormat="1" applyFont="1" applyFill="1" applyBorder="1" applyAlignment="1">
      <alignment horizontal="right"/>
    </xf>
    <xf numFmtId="3" fontId="10" fillId="25" borderId="22" xfId="0" applyNumberFormat="1" applyFont="1" applyFill="1" applyBorder="1" applyAlignment="1">
      <alignment horizontal="right"/>
    </xf>
    <xf numFmtId="3" fontId="9" fillId="25" borderId="18" xfId="0" applyNumberFormat="1" applyFont="1" applyFill="1" applyBorder="1" applyAlignment="1">
      <alignment horizontal="right"/>
    </xf>
    <xf numFmtId="3" fontId="9" fillId="25" borderId="22" xfId="0" applyNumberFormat="1" applyFont="1" applyFill="1" applyBorder="1" applyAlignment="1">
      <alignment horizontal="right"/>
    </xf>
    <xf numFmtId="3" fontId="2" fillId="25" borderId="0" xfId="0" applyNumberFormat="1" applyFont="1" applyFill="1" applyBorder="1" applyAlignment="1">
      <alignment horizontal="right"/>
    </xf>
    <xf numFmtId="3" fontId="2" fillId="25" borderId="16" xfId="0" applyNumberFormat="1" applyFont="1" applyFill="1" applyBorder="1" applyAlignment="1">
      <alignment horizontal="right"/>
    </xf>
    <xf numFmtId="0" fontId="15" fillId="25" borderId="20" xfId="0" applyFont="1" applyFill="1" applyBorder="1" applyAlignment="1">
      <alignment horizontal="center"/>
    </xf>
    <xf numFmtId="0" fontId="15" fillId="25" borderId="21" xfId="0" applyFont="1" applyFill="1" applyBorder="1" applyAlignment="1">
      <alignment vertical="center"/>
    </xf>
    <xf numFmtId="0" fontId="2" fillId="25" borderId="24" xfId="0" applyFont="1" applyFill="1" applyBorder="1" applyAlignment="1">
      <alignment horizontal="center"/>
    </xf>
    <xf numFmtId="3" fontId="19" fillId="25" borderId="31" xfId="0" applyNumberFormat="1" applyFont="1" applyFill="1" applyBorder="1" applyAlignment="1">
      <alignment horizontal="right" wrapText="1"/>
    </xf>
    <xf numFmtId="4" fontId="2" fillId="0" borderId="31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4" fillId="25" borderId="0" xfId="0" applyFont="1" applyFill="1" applyAlignment="1">
      <alignment/>
    </xf>
    <xf numFmtId="0" fontId="20" fillId="25" borderId="35" xfId="0" applyFont="1" applyFill="1" applyBorder="1" applyAlignment="1">
      <alignment/>
    </xf>
    <xf numFmtId="0" fontId="0" fillId="24" borderId="0" xfId="0" applyFont="1" applyFill="1" applyAlignment="1">
      <alignment/>
    </xf>
    <xf numFmtId="0" fontId="2" fillId="25" borderId="35" xfId="0" applyFont="1" applyFill="1" applyBorder="1" applyAlignment="1">
      <alignment/>
    </xf>
    <xf numFmtId="0" fontId="6" fillId="25" borderId="0" xfId="0" applyFont="1" applyFill="1" applyAlignment="1">
      <alignment/>
    </xf>
    <xf numFmtId="0" fontId="2" fillId="25" borderId="44" xfId="0" applyFont="1" applyFill="1" applyBorder="1" applyAlignment="1">
      <alignment/>
    </xf>
    <xf numFmtId="0" fontId="6" fillId="25" borderId="0" xfId="0" applyFont="1" applyFill="1" applyAlignment="1">
      <alignment horizontal="left"/>
    </xf>
    <xf numFmtId="0" fontId="0" fillId="25" borderId="0" xfId="0" applyFill="1" applyBorder="1" applyAlignment="1">
      <alignment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45" xfId="0" applyFont="1" applyFill="1" applyBorder="1" applyAlignment="1">
      <alignment/>
    </xf>
    <xf numFmtId="0" fontId="8" fillId="25" borderId="46" xfId="0" applyFont="1" applyFill="1" applyBorder="1" applyAlignment="1">
      <alignment/>
    </xf>
    <xf numFmtId="0" fontId="8" fillId="25" borderId="47" xfId="0" applyFont="1" applyFill="1" applyBorder="1" applyAlignment="1">
      <alignment/>
    </xf>
    <xf numFmtId="0" fontId="8" fillId="25" borderId="26" xfId="0" applyFont="1" applyFill="1" applyBorder="1" applyAlignment="1">
      <alignment/>
    </xf>
    <xf numFmtId="0" fontId="8" fillId="25" borderId="13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24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8" fillId="25" borderId="44" xfId="0" applyFont="1" applyFill="1" applyBorder="1" applyAlignment="1">
      <alignment horizontal="center"/>
    </xf>
    <xf numFmtId="0" fontId="8" fillId="25" borderId="48" xfId="0" applyFont="1" applyFill="1" applyBorder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8" fillId="25" borderId="44" xfId="0" applyFont="1" applyFill="1" applyBorder="1" applyAlignment="1">
      <alignment horizontal="center"/>
    </xf>
    <xf numFmtId="0" fontId="8" fillId="25" borderId="48" xfId="0" applyFont="1" applyFill="1" applyBorder="1" applyAlignment="1">
      <alignment horizontal="center"/>
    </xf>
    <xf numFmtId="0" fontId="8" fillId="25" borderId="49" xfId="0" applyFont="1" applyFill="1" applyBorder="1" applyAlignment="1">
      <alignment horizontal="center"/>
    </xf>
    <xf numFmtId="0" fontId="6" fillId="25" borderId="50" xfId="0" applyFont="1" applyFill="1" applyBorder="1" applyAlignment="1">
      <alignment horizontal="center"/>
    </xf>
    <xf numFmtId="0" fontId="6" fillId="25" borderId="29" xfId="0" applyFont="1" applyFill="1" applyBorder="1" applyAlignment="1">
      <alignment horizontal="center"/>
    </xf>
    <xf numFmtId="0" fontId="8" fillId="25" borderId="41" xfId="0" applyFont="1" applyFill="1" applyBorder="1" applyAlignment="1">
      <alignment horizontal="center"/>
    </xf>
    <xf numFmtId="0" fontId="0" fillId="25" borderId="17" xfId="0" applyFill="1" applyBorder="1" applyAlignment="1">
      <alignment/>
    </xf>
    <xf numFmtId="3" fontId="0" fillId="25" borderId="17" xfId="0" applyNumberFormat="1" applyFill="1" applyBorder="1" applyAlignment="1">
      <alignment/>
    </xf>
    <xf numFmtId="3" fontId="8" fillId="25" borderId="17" xfId="0" applyNumberFormat="1" applyFont="1" applyFill="1" applyBorder="1" applyAlignment="1">
      <alignment/>
    </xf>
    <xf numFmtId="0" fontId="0" fillId="25" borderId="25" xfId="0" applyFill="1" applyBorder="1" applyAlignment="1">
      <alignment/>
    </xf>
    <xf numFmtId="0" fontId="6" fillId="25" borderId="0" xfId="0" applyFont="1" applyFill="1" applyBorder="1" applyAlignment="1" applyProtection="1">
      <alignment/>
      <protection hidden="1" locked="0"/>
    </xf>
    <xf numFmtId="0" fontId="8" fillId="25" borderId="0" xfId="0" applyFont="1" applyFill="1" applyBorder="1" applyAlignment="1" applyProtection="1">
      <alignment/>
      <protection hidden="1" locked="0"/>
    </xf>
    <xf numFmtId="0" fontId="8" fillId="25" borderId="33" xfId="0" applyFont="1" applyFill="1" applyBorder="1" applyAlignment="1" applyProtection="1">
      <alignment/>
      <protection hidden="1" locked="0"/>
    </xf>
    <xf numFmtId="0" fontId="8" fillId="25" borderId="17" xfId="0" applyFont="1" applyFill="1" applyBorder="1" applyAlignment="1" applyProtection="1">
      <alignment/>
      <protection hidden="1" locked="0"/>
    </xf>
    <xf numFmtId="0" fontId="8" fillId="25" borderId="0" xfId="0" applyFont="1" applyFill="1" applyBorder="1" applyAlignment="1" applyProtection="1">
      <alignment/>
      <protection hidden="1" locked="0"/>
    </xf>
    <xf numFmtId="0" fontId="8" fillId="25" borderId="22" xfId="0" applyFont="1" applyFill="1" applyBorder="1" applyAlignment="1" applyProtection="1">
      <alignment/>
      <protection hidden="1" locked="0"/>
    </xf>
    <xf numFmtId="0" fontId="8" fillId="25" borderId="18" xfId="0" applyFont="1" applyFill="1" applyBorder="1" applyAlignment="1" applyProtection="1">
      <alignment horizontal="center"/>
      <protection hidden="1" locked="0"/>
    </xf>
    <xf numFmtId="0" fontId="8" fillId="25" borderId="0" xfId="0" applyFont="1" applyFill="1" applyBorder="1" applyAlignment="1" applyProtection="1">
      <alignment horizontal="center"/>
      <protection hidden="1" locked="0"/>
    </xf>
    <xf numFmtId="0" fontId="8" fillId="25" borderId="13" xfId="0" applyFont="1" applyFill="1" applyBorder="1" applyAlignment="1" applyProtection="1">
      <alignment/>
      <protection hidden="1" locked="0"/>
    </xf>
    <xf numFmtId="0" fontId="8" fillId="25" borderId="44" xfId="0" applyFont="1" applyFill="1" applyBorder="1" applyAlignment="1" applyProtection="1">
      <alignment/>
      <protection hidden="1" locked="0"/>
    </xf>
    <xf numFmtId="0" fontId="8" fillId="25" borderId="25" xfId="0" applyFont="1" applyFill="1" applyBorder="1" applyAlignment="1" applyProtection="1">
      <alignment/>
      <protection hidden="1" locked="0"/>
    </xf>
    <xf numFmtId="0" fontId="8" fillId="25" borderId="38" xfId="0" applyFont="1" applyFill="1" applyBorder="1" applyAlignment="1" applyProtection="1">
      <alignment horizontal="center"/>
      <protection hidden="1" locked="0"/>
    </xf>
    <xf numFmtId="0" fontId="8" fillId="25" borderId="39" xfId="0" applyFont="1" applyFill="1" applyBorder="1" applyAlignment="1" applyProtection="1">
      <alignment horizontal="center"/>
      <protection hidden="1" locked="0"/>
    </xf>
    <xf numFmtId="3" fontId="8" fillId="25" borderId="22" xfId="0" applyNumberFormat="1" applyFont="1" applyFill="1" applyBorder="1" applyAlignment="1" applyProtection="1">
      <alignment/>
      <protection hidden="1" locked="0"/>
    </xf>
    <xf numFmtId="3" fontId="8" fillId="25" borderId="31" xfId="0" applyNumberFormat="1" applyFont="1" applyFill="1" applyBorder="1" applyAlignment="1" applyProtection="1">
      <alignment/>
      <protection hidden="1" locked="0"/>
    </xf>
    <xf numFmtId="3" fontId="0" fillId="25" borderId="0" xfId="0" applyNumberFormat="1" applyFill="1" applyAlignment="1">
      <alignment/>
    </xf>
    <xf numFmtId="0" fontId="37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right"/>
    </xf>
    <xf numFmtId="3" fontId="4" fillId="25" borderId="13" xfId="0" applyNumberFormat="1" applyFont="1" applyFill="1" applyBorder="1" applyAlignment="1">
      <alignment/>
    </xf>
    <xf numFmtId="3" fontId="4" fillId="25" borderId="18" xfId="0" applyNumberFormat="1" applyFont="1" applyFill="1" applyBorder="1" applyAlignment="1">
      <alignment horizontal="center"/>
    </xf>
    <xf numFmtId="3" fontId="4" fillId="25" borderId="16" xfId="0" applyNumberFormat="1" applyFont="1" applyFill="1" applyBorder="1" applyAlignment="1">
      <alignment horizontal="center"/>
    </xf>
    <xf numFmtId="3" fontId="4" fillId="25" borderId="51" xfId="0" applyNumberFormat="1" applyFont="1" applyFill="1" applyBorder="1" applyAlignment="1">
      <alignment horizontal="center"/>
    </xf>
    <xf numFmtId="3" fontId="4" fillId="25" borderId="52" xfId="0" applyNumberFormat="1" applyFont="1" applyFill="1" applyBorder="1" applyAlignment="1">
      <alignment horizontal="center"/>
    </xf>
    <xf numFmtId="3" fontId="4" fillId="25" borderId="51" xfId="0" applyNumberFormat="1" applyFont="1" applyFill="1" applyBorder="1" applyAlignment="1">
      <alignment/>
    </xf>
    <xf numFmtId="3" fontId="4" fillId="25" borderId="53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/>
    </xf>
    <xf numFmtId="3" fontId="4" fillId="25" borderId="18" xfId="0" applyNumberFormat="1" applyFont="1" applyFill="1" applyBorder="1" applyAlignment="1">
      <alignment/>
    </xf>
    <xf numFmtId="3" fontId="4" fillId="25" borderId="24" xfId="0" applyNumberFormat="1" applyFont="1" applyFill="1" applyBorder="1" applyAlignment="1">
      <alignment/>
    </xf>
    <xf numFmtId="3" fontId="4" fillId="25" borderId="24" xfId="0" applyNumberFormat="1" applyFont="1" applyFill="1" applyBorder="1" applyAlignment="1">
      <alignment horizontal="center"/>
    </xf>
    <xf numFmtId="3" fontId="4" fillId="25" borderId="16" xfId="0" applyNumberFormat="1" applyFont="1" applyFill="1" applyBorder="1" applyAlignment="1">
      <alignment/>
    </xf>
    <xf numFmtId="3" fontId="4" fillId="25" borderId="19" xfId="0" applyNumberFormat="1" applyFont="1" applyFill="1" applyBorder="1" applyAlignment="1">
      <alignment/>
    </xf>
    <xf numFmtId="3" fontId="4" fillId="25" borderId="54" xfId="0" applyNumberFormat="1" applyFont="1" applyFill="1" applyBorder="1" applyAlignment="1">
      <alignment/>
    </xf>
    <xf numFmtId="3" fontId="4" fillId="25" borderId="48" xfId="0" applyNumberFormat="1" applyFont="1" applyFill="1" applyBorder="1" applyAlignment="1">
      <alignment/>
    </xf>
    <xf numFmtId="3" fontId="4" fillId="25" borderId="55" xfId="0" applyNumberFormat="1" applyFont="1" applyFill="1" applyBorder="1" applyAlignment="1">
      <alignment horizontal="center"/>
    </xf>
    <xf numFmtId="3" fontId="4" fillId="25" borderId="56" xfId="0" applyNumberFormat="1" applyFont="1" applyFill="1" applyBorder="1" applyAlignment="1">
      <alignment horizontal="center"/>
    </xf>
    <xf numFmtId="3" fontId="4" fillId="25" borderId="0" xfId="0" applyNumberFormat="1" applyFont="1" applyFill="1" applyBorder="1" applyAlignment="1">
      <alignment horizontal="center"/>
    </xf>
    <xf numFmtId="3" fontId="4" fillId="25" borderId="53" xfId="0" applyNumberFormat="1" applyFont="1" applyFill="1" applyBorder="1" applyAlignment="1">
      <alignment horizontal="center"/>
    </xf>
    <xf numFmtId="3" fontId="4" fillId="25" borderId="17" xfId="0" applyNumberFormat="1" applyFont="1" applyFill="1" applyBorder="1" applyAlignment="1">
      <alignment/>
    </xf>
    <xf numFmtId="0" fontId="20" fillId="25" borderId="16" xfId="0" applyFont="1" applyFill="1" applyBorder="1" applyAlignment="1">
      <alignment horizontal="center"/>
    </xf>
    <xf numFmtId="3" fontId="4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3" fontId="33" fillId="25" borderId="17" xfId="0" applyNumberFormat="1" applyFont="1" applyFill="1" applyBorder="1" applyAlignment="1">
      <alignment/>
    </xf>
    <xf numFmtId="0" fontId="20" fillId="25" borderId="24" xfId="0" applyFont="1" applyFill="1" applyBorder="1" applyAlignment="1">
      <alignment horizontal="center"/>
    </xf>
    <xf numFmtId="3" fontId="33" fillId="25" borderId="18" xfId="0" applyNumberFormat="1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/>
    </xf>
    <xf numFmtId="0" fontId="38" fillId="25" borderId="24" xfId="0" applyFont="1" applyFill="1" applyBorder="1" applyAlignment="1">
      <alignment horizontal="center"/>
    </xf>
    <xf numFmtId="0" fontId="16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29" xfId="0" applyFont="1" applyFill="1" applyBorder="1" applyAlignment="1">
      <alignment vertical="center"/>
    </xf>
    <xf numFmtId="0" fontId="4" fillId="24" borderId="41" xfId="0" applyFont="1" applyFill="1" applyBorder="1" applyAlignment="1">
      <alignment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/>
    </xf>
    <xf numFmtId="0" fontId="4" fillId="24" borderId="38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17" fillId="24" borderId="17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3" fontId="17" fillId="24" borderId="24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0" fontId="4" fillId="24" borderId="58" xfId="0" applyFont="1" applyFill="1" applyBorder="1" applyAlignment="1">
      <alignment/>
    </xf>
    <xf numFmtId="3" fontId="4" fillId="24" borderId="44" xfId="0" applyNumberFormat="1" applyFont="1" applyFill="1" applyBorder="1" applyAlignment="1">
      <alignment/>
    </xf>
    <xf numFmtId="3" fontId="4" fillId="24" borderId="49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0" fillId="25" borderId="22" xfId="0" applyFont="1" applyFill="1" applyBorder="1" applyAlignment="1" applyProtection="1">
      <alignment horizontal="center"/>
      <protection hidden="1" locked="0"/>
    </xf>
    <xf numFmtId="0" fontId="4" fillId="25" borderId="22" xfId="0" applyFont="1" applyFill="1" applyBorder="1" applyAlignment="1" applyProtection="1">
      <alignment horizontal="center"/>
      <protection hidden="1" locked="0"/>
    </xf>
    <xf numFmtId="0" fontId="40" fillId="25" borderId="17" xfId="0" applyFont="1" applyFill="1" applyBorder="1" applyAlignment="1" applyProtection="1">
      <alignment horizontal="center"/>
      <protection hidden="1" locked="0"/>
    </xf>
    <xf numFmtId="0" fontId="8" fillId="25" borderId="59" xfId="0" applyFont="1" applyFill="1" applyBorder="1" applyAlignment="1" applyProtection="1">
      <alignment/>
      <protection hidden="1" locked="0"/>
    </xf>
    <xf numFmtId="0" fontId="0" fillId="25" borderId="10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47" xfId="0" applyFill="1" applyBorder="1" applyAlignment="1">
      <alignment/>
    </xf>
    <xf numFmtId="0" fontId="0" fillId="25" borderId="46" xfId="0" applyFill="1" applyBorder="1" applyAlignment="1">
      <alignment/>
    </xf>
    <xf numFmtId="0" fontId="40" fillId="25" borderId="50" xfId="0" applyFont="1" applyFill="1" applyBorder="1" applyAlignment="1" applyProtection="1">
      <alignment horizontal="center"/>
      <protection hidden="1" locked="0"/>
    </xf>
    <xf numFmtId="0" fontId="40" fillId="25" borderId="29" xfId="0" applyFont="1" applyFill="1" applyBorder="1" applyAlignment="1" applyProtection="1">
      <alignment horizontal="center"/>
      <protection hidden="1" locked="0"/>
    </xf>
    <xf numFmtId="0" fontId="40" fillId="25" borderId="41" xfId="0" applyFont="1" applyFill="1" applyBorder="1" applyAlignment="1" applyProtection="1">
      <alignment horizontal="center"/>
      <protection hidden="1" locked="0"/>
    </xf>
    <xf numFmtId="3" fontId="40" fillId="25" borderId="13" xfId="0" applyNumberFormat="1" applyFont="1" applyFill="1" applyBorder="1" applyAlignment="1" applyProtection="1">
      <alignment/>
      <protection hidden="1" locked="0"/>
    </xf>
    <xf numFmtId="3" fontId="40" fillId="25" borderId="22" xfId="0" applyNumberFormat="1" applyFont="1" applyFill="1" applyBorder="1" applyAlignment="1" applyProtection="1">
      <alignment/>
      <protection hidden="1" locked="0"/>
    </xf>
    <xf numFmtId="3" fontId="40" fillId="25" borderId="31" xfId="0" applyNumberFormat="1" applyFont="1" applyFill="1" applyBorder="1" applyAlignment="1" applyProtection="1">
      <alignment/>
      <protection hidden="1" locked="0"/>
    </xf>
    <xf numFmtId="3" fontId="40" fillId="25" borderId="19" xfId="0" applyNumberFormat="1" applyFont="1" applyFill="1" applyBorder="1" applyAlignment="1" applyProtection="1">
      <alignment/>
      <protection hidden="1" locked="0"/>
    </xf>
    <xf numFmtId="3" fontId="40" fillId="25" borderId="44" xfId="0" applyNumberFormat="1" applyFont="1" applyFill="1" applyBorder="1" applyAlignment="1" applyProtection="1">
      <alignment/>
      <protection hidden="1" locked="0"/>
    </xf>
    <xf numFmtId="3" fontId="40" fillId="25" borderId="60" xfId="0" applyNumberFormat="1" applyFont="1" applyFill="1" applyBorder="1" applyAlignment="1" applyProtection="1">
      <alignment/>
      <protection hidden="1" locked="0"/>
    </xf>
    <xf numFmtId="0" fontId="4" fillId="25" borderId="0" xfId="0" applyFont="1" applyFill="1" applyBorder="1" applyAlignment="1" applyProtection="1">
      <alignment horizontal="center"/>
      <protection hidden="1" locked="0"/>
    </xf>
    <xf numFmtId="0" fontId="4" fillId="25" borderId="54" xfId="0" applyFont="1" applyFill="1" applyBorder="1" applyAlignment="1" applyProtection="1">
      <alignment horizontal="center"/>
      <protection hidden="1" locked="0"/>
    </xf>
    <xf numFmtId="0" fontId="4" fillId="25" borderId="48" xfId="0" applyFont="1" applyFill="1" applyBorder="1" applyAlignment="1" applyProtection="1">
      <alignment horizontal="center"/>
      <protection hidden="1" locked="0"/>
    </xf>
    <xf numFmtId="0" fontId="4" fillId="25" borderId="17" xfId="0" applyFont="1" applyFill="1" applyBorder="1" applyAlignment="1" applyProtection="1">
      <alignment horizontal="center"/>
      <protection hidden="1" locked="0"/>
    </xf>
    <xf numFmtId="0" fontId="4" fillId="25" borderId="0" xfId="0" applyFont="1" applyFill="1" applyBorder="1" applyAlignment="1" applyProtection="1">
      <alignment horizontal="right"/>
      <protection hidden="1" locked="0"/>
    </xf>
    <xf numFmtId="0" fontId="4" fillId="25" borderId="24" xfId="0" applyFont="1" applyFill="1" applyBorder="1" applyAlignment="1" applyProtection="1">
      <alignment horizontal="center"/>
      <protection hidden="1" locked="0"/>
    </xf>
    <xf numFmtId="3" fontId="4" fillId="25" borderId="13" xfId="0" applyNumberFormat="1" applyFont="1" applyFill="1" applyBorder="1" applyAlignment="1" applyProtection="1">
      <alignment/>
      <protection hidden="1" locked="0"/>
    </xf>
    <xf numFmtId="3" fontId="4" fillId="25" borderId="22" xfId="0" applyNumberFormat="1" applyFont="1" applyFill="1" applyBorder="1" applyAlignment="1" applyProtection="1">
      <alignment/>
      <protection hidden="1" locked="0"/>
    </xf>
    <xf numFmtId="3" fontId="4" fillId="25" borderId="31" xfId="0" applyNumberFormat="1" applyFont="1" applyFill="1" applyBorder="1" applyAlignment="1" applyProtection="1">
      <alignment/>
      <protection hidden="1" locked="0"/>
    </xf>
    <xf numFmtId="3" fontId="17" fillId="25" borderId="61" xfId="0" applyNumberFormat="1" applyFont="1" applyFill="1" applyBorder="1" applyAlignment="1" applyProtection="1">
      <alignment vertical="center"/>
      <protection hidden="1" locked="0"/>
    </xf>
    <xf numFmtId="3" fontId="17" fillId="25" borderId="28" xfId="0" applyNumberFormat="1" applyFont="1" applyFill="1" applyBorder="1" applyAlignment="1" applyProtection="1">
      <alignment vertical="center"/>
      <protection hidden="1" locked="0"/>
    </xf>
    <xf numFmtId="3" fontId="17" fillId="25" borderId="32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25" borderId="25" xfId="0" applyFont="1" applyFill="1" applyBorder="1" applyAlignment="1">
      <alignment wrapText="1"/>
    </xf>
    <xf numFmtId="0" fontId="4" fillId="25" borderId="0" xfId="0" applyFont="1" applyFill="1" applyAlignment="1">
      <alignment horizontal="right"/>
    </xf>
    <xf numFmtId="0" fontId="6" fillId="25" borderId="0" xfId="0" applyFont="1" applyFill="1" applyAlignment="1">
      <alignment horizontal="right"/>
    </xf>
    <xf numFmtId="0" fontId="4" fillId="25" borderId="31" xfId="0" applyFont="1" applyFill="1" applyBorder="1" applyAlignment="1" applyProtection="1">
      <alignment horizontal="center"/>
      <protection hidden="1" locked="0"/>
    </xf>
    <xf numFmtId="0" fontId="4" fillId="25" borderId="24" xfId="0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/>
    </xf>
    <xf numFmtId="0" fontId="2" fillId="26" borderId="63" xfId="0" applyFont="1" applyFill="1" applyBorder="1" applyAlignment="1">
      <alignment horizontal="center"/>
    </xf>
    <xf numFmtId="0" fontId="2" fillId="26" borderId="64" xfId="0" applyFont="1" applyFill="1" applyBorder="1" applyAlignment="1">
      <alignment/>
    </xf>
    <xf numFmtId="0" fontId="2" fillId="0" borderId="64" xfId="0" applyFont="1" applyFill="1" applyBorder="1" applyAlignment="1">
      <alignment horizontal="left"/>
    </xf>
    <xf numFmtId="0" fontId="2" fillId="26" borderId="64" xfId="0" applyFont="1" applyFill="1" applyBorder="1" applyAlignment="1">
      <alignment horizontal="left"/>
    </xf>
    <xf numFmtId="0" fontId="2" fillId="26" borderId="64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3" fontId="15" fillId="27" borderId="65" xfId="0" applyNumberFormat="1" applyFont="1" applyFill="1" applyBorder="1" applyAlignment="1">
      <alignment horizontal="right" vertical="center"/>
    </xf>
    <xf numFmtId="0" fontId="4" fillId="25" borderId="27" xfId="0" applyFont="1" applyFill="1" applyBorder="1" applyAlignment="1">
      <alignment horizontal="center" vertical="top"/>
    </xf>
    <xf numFmtId="0" fontId="2" fillId="25" borderId="6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25" borderId="38" xfId="0" applyFont="1" applyFill="1" applyBorder="1" applyAlignment="1">
      <alignment horizontal="center" wrapText="1"/>
    </xf>
    <xf numFmtId="3" fontId="2" fillId="25" borderId="22" xfId="0" applyNumberFormat="1" applyFont="1" applyFill="1" applyBorder="1" applyAlignment="1">
      <alignment vertical="center" wrapText="1"/>
    </xf>
    <xf numFmtId="3" fontId="3" fillId="25" borderId="44" xfId="0" applyNumberFormat="1" applyFont="1" applyFill="1" applyBorder="1" applyAlignment="1">
      <alignment horizontal="right" wrapText="1"/>
    </xf>
    <xf numFmtId="4" fontId="2" fillId="0" borderId="31" xfId="0" applyNumberFormat="1" applyFont="1" applyFill="1" applyBorder="1" applyAlignment="1">
      <alignment horizontal="right" vertical="center" wrapText="1"/>
    </xf>
    <xf numFmtId="3" fontId="2" fillId="26" borderId="0" xfId="0" applyNumberFormat="1" applyFont="1" applyFill="1" applyBorder="1" applyAlignment="1">
      <alignment/>
    </xf>
    <xf numFmtId="0" fontId="5" fillId="26" borderId="62" xfId="0" applyFont="1" applyFill="1" applyBorder="1" applyAlignment="1">
      <alignment horizontal="center"/>
    </xf>
    <xf numFmtId="0" fontId="19" fillId="26" borderId="67" xfId="0" applyFont="1" applyFill="1" applyBorder="1" applyAlignment="1">
      <alignment wrapText="1"/>
    </xf>
    <xf numFmtId="0" fontId="2" fillId="26" borderId="67" xfId="0" applyFont="1" applyFill="1" applyBorder="1" applyAlignment="1">
      <alignment horizontal="left"/>
    </xf>
    <xf numFmtId="0" fontId="19" fillId="26" borderId="0" xfId="0" applyFont="1" applyFill="1" applyAlignment="1">
      <alignment/>
    </xf>
    <xf numFmtId="0" fontId="2" fillId="26" borderId="0" xfId="0" applyFont="1" applyFill="1" applyBorder="1" applyAlignment="1">
      <alignment/>
    </xf>
    <xf numFmtId="3" fontId="2" fillId="24" borderId="22" xfId="0" applyNumberFormat="1" applyFont="1" applyFill="1" applyBorder="1" applyAlignment="1">
      <alignment horizontal="right"/>
    </xf>
    <xf numFmtId="3" fontId="2" fillId="25" borderId="22" xfId="0" applyNumberFormat="1" applyFont="1" applyFill="1" applyBorder="1" applyAlignment="1">
      <alignment horizontal="right" wrapText="1"/>
    </xf>
    <xf numFmtId="3" fontId="2" fillId="25" borderId="22" xfId="0" applyNumberFormat="1" applyFont="1" applyFill="1" applyBorder="1" applyAlignment="1">
      <alignment horizontal="right"/>
    </xf>
    <xf numFmtId="3" fontId="17" fillId="27" borderId="68" xfId="0" applyNumberFormat="1" applyFont="1" applyFill="1" applyBorder="1" applyAlignment="1">
      <alignment horizontal="right" vertical="center"/>
    </xf>
    <xf numFmtId="0" fontId="3" fillId="26" borderId="69" xfId="0" applyFont="1" applyFill="1" applyBorder="1" applyAlignment="1">
      <alignment horizontal="center"/>
    </xf>
    <xf numFmtId="0" fontId="17" fillId="26" borderId="70" xfId="0" applyFont="1" applyFill="1" applyBorder="1" applyAlignment="1">
      <alignment wrapText="1"/>
    </xf>
    <xf numFmtId="3" fontId="3" fillId="25" borderId="71" xfId="0" applyNumberFormat="1" applyFont="1" applyFill="1" applyBorder="1" applyAlignment="1">
      <alignment horizontal="right"/>
    </xf>
    <xf numFmtId="0" fontId="17" fillId="26" borderId="72" xfId="0" applyFont="1" applyFill="1" applyBorder="1" applyAlignment="1">
      <alignment horizontal="left"/>
    </xf>
    <xf numFmtId="3" fontId="17" fillId="27" borderId="44" xfId="0" applyNumberFormat="1" applyFont="1" applyFill="1" applyBorder="1" applyAlignment="1">
      <alignment horizontal="right"/>
    </xf>
    <xf numFmtId="4" fontId="17" fillId="0" borderId="6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3" fontId="3" fillId="0" borderId="29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3" fontId="3" fillId="0" borderId="68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" fontId="6" fillId="25" borderId="22" xfId="0" applyNumberFormat="1" applyFont="1" applyFill="1" applyBorder="1" applyAlignment="1">
      <alignment vertical="center"/>
    </xf>
    <xf numFmtId="3" fontId="3" fillId="26" borderId="0" xfId="0" applyNumberFormat="1" applyFont="1" applyFill="1" applyBorder="1" applyAlignment="1">
      <alignment vertical="center"/>
    </xf>
    <xf numFmtId="3" fontId="2" fillId="26" borderId="0" xfId="0" applyNumberFormat="1" applyFont="1" applyFill="1" applyBorder="1" applyAlignment="1">
      <alignment vertical="center"/>
    </xf>
    <xf numFmtId="3" fontId="2" fillId="26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26" borderId="0" xfId="0" applyFont="1" applyFill="1" applyAlignment="1">
      <alignment horizontal="center"/>
    </xf>
    <xf numFmtId="0" fontId="0" fillId="26" borderId="0" xfId="0" applyFont="1" applyFill="1" applyAlignment="1">
      <alignment wrapText="1"/>
    </xf>
    <xf numFmtId="0" fontId="4" fillId="25" borderId="13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3" fontId="4" fillId="25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2" fillId="25" borderId="0" xfId="0" applyFont="1" applyFill="1" applyAlignment="1">
      <alignment vertical="center"/>
    </xf>
    <xf numFmtId="3" fontId="4" fillId="25" borderId="31" xfId="0" applyNumberFormat="1" applyFont="1" applyFill="1" applyBorder="1" applyAlignment="1">
      <alignment horizontal="right"/>
    </xf>
    <xf numFmtId="4" fontId="4" fillId="25" borderId="31" xfId="0" applyNumberFormat="1" applyFont="1" applyFill="1" applyBorder="1" applyAlignment="1">
      <alignment horizontal="right"/>
    </xf>
    <xf numFmtId="3" fontId="4" fillId="25" borderId="44" xfId="0" applyNumberFormat="1" applyFont="1" applyFill="1" applyBorder="1" applyAlignment="1">
      <alignment horizontal="right"/>
    </xf>
    <xf numFmtId="4" fontId="4" fillId="25" borderId="60" xfId="0" applyNumberFormat="1" applyFont="1" applyFill="1" applyBorder="1" applyAlignment="1">
      <alignment horizontal="right"/>
    </xf>
    <xf numFmtId="4" fontId="17" fillId="27" borderId="73" xfId="0" applyNumberFormat="1" applyFont="1" applyFill="1" applyBorder="1" applyAlignment="1">
      <alignment horizontal="right" vertical="center"/>
    </xf>
    <xf numFmtId="4" fontId="2" fillId="24" borderId="24" xfId="0" applyNumberFormat="1" applyFont="1" applyFill="1" applyBorder="1" applyAlignment="1">
      <alignment vertical="center"/>
    </xf>
    <xf numFmtId="4" fontId="10" fillId="0" borderId="49" xfId="0" applyNumberFormat="1" applyFont="1" applyFill="1" applyBorder="1" applyAlignment="1">
      <alignment/>
    </xf>
    <xf numFmtId="3" fontId="10" fillId="25" borderId="24" xfId="0" applyNumberFormat="1" applyFont="1" applyFill="1" applyBorder="1" applyAlignment="1">
      <alignment horizontal="right"/>
    </xf>
    <xf numFmtId="4" fontId="2" fillId="25" borderId="24" xfId="0" applyNumberFormat="1" applyFont="1" applyFill="1" applyBorder="1" applyAlignment="1">
      <alignment horizontal="right"/>
    </xf>
    <xf numFmtId="4" fontId="10" fillId="27" borderId="49" xfId="0" applyNumberFormat="1" applyFont="1" applyFill="1" applyBorder="1" applyAlignment="1">
      <alignment horizontal="right"/>
    </xf>
    <xf numFmtId="4" fontId="10" fillId="25" borderId="53" xfId="0" applyNumberFormat="1" applyFont="1" applyFill="1" applyBorder="1" applyAlignment="1">
      <alignment horizontal="right"/>
    </xf>
    <xf numFmtId="4" fontId="9" fillId="25" borderId="24" xfId="0" applyNumberFormat="1" applyFont="1" applyFill="1" applyBorder="1" applyAlignment="1">
      <alignment horizontal="right"/>
    </xf>
    <xf numFmtId="4" fontId="2" fillId="24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25" borderId="24" xfId="0" applyNumberFormat="1" applyFont="1" applyFill="1" applyBorder="1" applyAlignment="1">
      <alignment horizontal="right" wrapText="1"/>
    </xf>
    <xf numFmtId="0" fontId="2" fillId="25" borderId="38" xfId="0" applyFont="1" applyFill="1" applyBorder="1" applyAlignment="1">
      <alignment horizontal="center"/>
    </xf>
    <xf numFmtId="3" fontId="10" fillId="27" borderId="44" xfId="0" applyNumberFormat="1" applyFont="1" applyFill="1" applyBorder="1" applyAlignment="1">
      <alignment horizontal="right"/>
    </xf>
    <xf numFmtId="3" fontId="10" fillId="25" borderId="38" xfId="0" applyNumberFormat="1" applyFont="1" applyFill="1" applyBorder="1" applyAlignment="1">
      <alignment horizontal="right"/>
    </xf>
    <xf numFmtId="3" fontId="15" fillId="27" borderId="68" xfId="0" applyNumberFormat="1" applyFont="1" applyFill="1" applyBorder="1" applyAlignment="1">
      <alignment horizontal="right" vertical="center"/>
    </xf>
    <xf numFmtId="3" fontId="2" fillId="25" borderId="22" xfId="0" applyNumberFormat="1" applyFont="1" applyFill="1" applyBorder="1" applyAlignment="1">
      <alignment vertical="center"/>
    </xf>
    <xf numFmtId="0" fontId="2" fillId="28" borderId="33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6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3" fontId="2" fillId="25" borderId="74" xfId="0" applyNumberFormat="1" applyFont="1" applyFill="1" applyBorder="1" applyAlignment="1">
      <alignment horizontal="right" wrapText="1"/>
    </xf>
    <xf numFmtId="0" fontId="19" fillId="26" borderId="64" xfId="0" applyFont="1" applyFill="1" applyBorder="1" applyAlignment="1">
      <alignment/>
    </xf>
    <xf numFmtId="3" fontId="2" fillId="24" borderId="74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4" fontId="3" fillId="0" borderId="60" xfId="0" applyNumberFormat="1" applyFont="1" applyFill="1" applyBorder="1" applyAlignment="1">
      <alignment horizontal="right" wrapText="1"/>
    </xf>
    <xf numFmtId="0" fontId="9" fillId="25" borderId="38" xfId="0" applyFont="1" applyFill="1" applyBorder="1" applyAlignment="1">
      <alignment/>
    </xf>
    <xf numFmtId="0" fontId="9" fillId="25" borderId="3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3" fillId="0" borderId="75" xfId="0" applyNumberFormat="1" applyFont="1" applyFill="1" applyBorder="1" applyAlignment="1">
      <alignment horizontal="right" vertical="center" wrapText="1"/>
    </xf>
    <xf numFmtId="0" fontId="3" fillId="25" borderId="50" xfId="0" applyFont="1" applyFill="1" applyBorder="1" applyAlignment="1">
      <alignment horizontal="center"/>
    </xf>
    <xf numFmtId="0" fontId="40" fillId="25" borderId="13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vertical="center"/>
    </xf>
    <xf numFmtId="0" fontId="15" fillId="25" borderId="50" xfId="0" applyFont="1" applyFill="1" applyBorder="1" applyAlignment="1">
      <alignment horizontal="center" vertical="center"/>
    </xf>
    <xf numFmtId="0" fontId="15" fillId="25" borderId="29" xfId="0" applyFont="1" applyFill="1" applyBorder="1" applyAlignment="1">
      <alignment vertical="center"/>
    </xf>
    <xf numFmtId="0" fontId="40" fillId="25" borderId="15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vertical="center"/>
    </xf>
    <xf numFmtId="0" fontId="15" fillId="25" borderId="29" xfId="0" applyFont="1" applyFill="1" applyBorder="1" applyAlignment="1">
      <alignment vertical="center"/>
    </xf>
    <xf numFmtId="0" fontId="40" fillId="25" borderId="19" xfId="0" applyFont="1" applyFill="1" applyBorder="1" applyAlignment="1">
      <alignment horizontal="center" vertical="center"/>
    </xf>
    <xf numFmtId="0" fontId="40" fillId="25" borderId="44" xfId="0" applyFont="1" applyFill="1" applyBorder="1" applyAlignment="1">
      <alignment vertical="center"/>
    </xf>
    <xf numFmtId="0" fontId="15" fillId="25" borderId="22" xfId="0" applyFont="1" applyFill="1" applyBorder="1" applyAlignment="1">
      <alignment vertical="center"/>
    </xf>
    <xf numFmtId="0" fontId="40" fillId="25" borderId="38" xfId="0" applyFont="1" applyFill="1" applyBorder="1" applyAlignment="1">
      <alignment vertical="center"/>
    </xf>
    <xf numFmtId="0" fontId="40" fillId="25" borderId="17" xfId="0" applyFont="1" applyFill="1" applyBorder="1" applyAlignment="1">
      <alignment horizontal="center" vertical="center"/>
    </xf>
    <xf numFmtId="0" fontId="40" fillId="25" borderId="18" xfId="0" applyFont="1" applyFill="1" applyBorder="1" applyAlignment="1">
      <alignment vertical="center"/>
    </xf>
    <xf numFmtId="0" fontId="42" fillId="25" borderId="17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vertical="center" wrapText="1"/>
    </xf>
    <xf numFmtId="0" fontId="40" fillId="25" borderId="17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vertical="center"/>
    </xf>
    <xf numFmtId="0" fontId="15" fillId="25" borderId="19" xfId="0" applyFont="1" applyFill="1" applyBorder="1" applyAlignment="1">
      <alignment horizontal="center" vertical="center"/>
    </xf>
    <xf numFmtId="0" fontId="15" fillId="25" borderId="44" xfId="0" applyFont="1" applyFill="1" applyBorder="1" applyAlignment="1">
      <alignment vertical="center" wrapText="1"/>
    </xf>
    <xf numFmtId="0" fontId="40" fillId="25" borderId="13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vertical="center" wrapText="1"/>
    </xf>
    <xf numFmtId="3" fontId="40" fillId="25" borderId="22" xfId="0" applyNumberFormat="1" applyFont="1" applyFill="1" applyBorder="1" applyAlignment="1">
      <alignment vertical="center"/>
    </xf>
    <xf numFmtId="3" fontId="15" fillId="25" borderId="29" xfId="0" applyNumberFormat="1" applyFont="1" applyFill="1" applyBorder="1" applyAlignment="1">
      <alignment vertical="center"/>
    </xf>
    <xf numFmtId="3" fontId="15" fillId="25" borderId="76" xfId="0" applyNumberFormat="1" applyFont="1" applyFill="1" applyBorder="1" applyAlignment="1">
      <alignment vertical="center"/>
    </xf>
    <xf numFmtId="0" fontId="40" fillId="25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5" borderId="12" xfId="0" applyFont="1" applyFill="1" applyBorder="1" applyAlignment="1">
      <alignment horizontal="center"/>
    </xf>
    <xf numFmtId="3" fontId="40" fillId="0" borderId="22" xfId="0" applyNumberFormat="1" applyFont="1" applyFill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40" fillId="0" borderId="44" xfId="0" applyNumberFormat="1" applyFont="1" applyFill="1" applyBorder="1" applyAlignment="1">
      <alignment vertical="center"/>
    </xf>
    <xf numFmtId="3" fontId="40" fillId="0" borderId="49" xfId="0" applyNumberFormat="1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15" fillId="0" borderId="44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40" fillId="0" borderId="28" xfId="0" applyNumberFormat="1" applyFont="1" applyFill="1" applyBorder="1" applyAlignment="1">
      <alignment vertical="center"/>
    </xf>
    <xf numFmtId="0" fontId="6" fillId="25" borderId="0" xfId="0" applyFont="1" applyFill="1" applyAlignment="1">
      <alignment horizontal="center"/>
    </xf>
    <xf numFmtId="0" fontId="0" fillId="24" borderId="33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58" xfId="0" applyFont="1" applyFill="1" applyBorder="1" applyAlignment="1">
      <alignment/>
    </xf>
    <xf numFmtId="0" fontId="2" fillId="25" borderId="50" xfId="0" applyFont="1" applyFill="1" applyBorder="1" applyAlignment="1">
      <alignment horizontal="center" vertical="center"/>
    </xf>
    <xf numFmtId="3" fontId="2" fillId="25" borderId="77" xfId="0" applyNumberFormat="1" applyFont="1" applyFill="1" applyBorder="1" applyAlignment="1">
      <alignment vertical="center"/>
    </xf>
    <xf numFmtId="3" fontId="2" fillId="25" borderId="29" xfId="0" applyNumberFormat="1" applyFont="1" applyFill="1" applyBorder="1" applyAlignment="1">
      <alignment vertical="center"/>
    </xf>
    <xf numFmtId="3" fontId="2" fillId="25" borderId="41" xfId="0" applyNumberFormat="1" applyFont="1" applyFill="1" applyBorder="1" applyAlignment="1">
      <alignment vertical="center"/>
    </xf>
    <xf numFmtId="3" fontId="2" fillId="25" borderId="48" xfId="0" applyNumberFormat="1" applyFont="1" applyFill="1" applyBorder="1" applyAlignment="1">
      <alignment vertical="center" wrapText="1"/>
    </xf>
    <xf numFmtId="3" fontId="2" fillId="25" borderId="44" xfId="0" applyNumberFormat="1" applyFont="1" applyFill="1" applyBorder="1" applyAlignment="1">
      <alignment vertical="center"/>
    </xf>
    <xf numFmtId="3" fontId="2" fillId="25" borderId="60" xfId="0" applyNumberFormat="1" applyFont="1" applyFill="1" applyBorder="1" applyAlignment="1">
      <alignment vertical="center"/>
    </xf>
    <xf numFmtId="3" fontId="2" fillId="25" borderId="48" xfId="0" applyNumberFormat="1" applyFont="1" applyFill="1" applyBorder="1" applyAlignment="1">
      <alignment vertical="center"/>
    </xf>
    <xf numFmtId="3" fontId="3" fillId="25" borderId="48" xfId="0" applyNumberFormat="1" applyFont="1" applyFill="1" applyBorder="1" applyAlignment="1">
      <alignment vertical="center"/>
    </xf>
    <xf numFmtId="3" fontId="3" fillId="25" borderId="44" xfId="0" applyNumberFormat="1" applyFont="1" applyFill="1" applyBorder="1" applyAlignment="1">
      <alignment vertical="center"/>
    </xf>
    <xf numFmtId="3" fontId="3" fillId="25" borderId="60" xfId="0" applyNumberFormat="1" applyFont="1" applyFill="1" applyBorder="1" applyAlignment="1">
      <alignment vertical="center"/>
    </xf>
    <xf numFmtId="0" fontId="2" fillId="25" borderId="15" xfId="0" applyFont="1" applyFill="1" applyBorder="1" applyAlignment="1">
      <alignment horizontal="center" vertical="center"/>
    </xf>
    <xf numFmtId="3" fontId="2" fillId="25" borderId="16" xfId="0" applyNumberFormat="1" applyFont="1" applyFill="1" applyBorder="1" applyAlignment="1">
      <alignment vertical="center"/>
    </xf>
    <xf numFmtId="3" fontId="2" fillId="25" borderId="31" xfId="0" applyNumberFormat="1" applyFont="1" applyFill="1" applyBorder="1" applyAlignment="1">
      <alignment vertical="center"/>
    </xf>
    <xf numFmtId="0" fontId="2" fillId="25" borderId="19" xfId="0" applyFont="1" applyFill="1" applyBorder="1" applyAlignment="1">
      <alignment horizontal="center" vertical="center"/>
    </xf>
    <xf numFmtId="3" fontId="2" fillId="25" borderId="48" xfId="0" applyNumberFormat="1" applyFont="1" applyFill="1" applyBorder="1" applyAlignment="1" quotePrefix="1">
      <alignment vertical="center"/>
    </xf>
    <xf numFmtId="3" fontId="2" fillId="25" borderId="29" xfId="0" applyNumberFormat="1" applyFont="1" applyFill="1" applyBorder="1" applyAlignment="1" quotePrefix="1">
      <alignment vertical="center"/>
    </xf>
    <xf numFmtId="0" fontId="2" fillId="25" borderId="78" xfId="0" applyFont="1" applyFill="1" applyBorder="1" applyAlignment="1">
      <alignment horizontal="center" vertical="center"/>
    </xf>
    <xf numFmtId="3" fontId="2" fillId="25" borderId="76" xfId="0" applyNumberFormat="1" applyFont="1" applyFill="1" applyBorder="1" applyAlignment="1" quotePrefix="1">
      <alignment vertical="center"/>
    </xf>
    <xf numFmtId="3" fontId="2" fillId="25" borderId="76" xfId="0" applyNumberFormat="1" applyFont="1" applyFill="1" applyBorder="1" applyAlignment="1">
      <alignment vertical="center"/>
    </xf>
    <xf numFmtId="3" fontId="2" fillId="25" borderId="79" xfId="0" applyNumberFormat="1" applyFont="1" applyFill="1" applyBorder="1" applyAlignment="1">
      <alignment vertical="center"/>
    </xf>
    <xf numFmtId="0" fontId="8" fillId="25" borderId="47" xfId="0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 vertical="center"/>
    </xf>
    <xf numFmtId="3" fontId="6" fillId="25" borderId="44" xfId="0" applyNumberFormat="1" applyFont="1" applyFill="1" applyBorder="1" applyAlignment="1">
      <alignment vertical="center" wrapText="1"/>
    </xf>
    <xf numFmtId="3" fontId="6" fillId="25" borderId="44" xfId="0" applyNumberFormat="1" applyFont="1" applyFill="1" applyBorder="1" applyAlignment="1">
      <alignment vertical="center"/>
    </xf>
    <xf numFmtId="3" fontId="8" fillId="25" borderId="44" xfId="0" applyNumberFormat="1" applyFont="1" applyFill="1" applyBorder="1" applyAlignment="1">
      <alignment vertical="center"/>
    </xf>
    <xf numFmtId="3" fontId="8" fillId="25" borderId="60" xfId="0" applyNumberFormat="1" applyFont="1" applyFill="1" applyBorder="1" applyAlignment="1">
      <alignment vertical="center"/>
    </xf>
    <xf numFmtId="0" fontId="6" fillId="25" borderId="44" xfId="0" applyFont="1" applyFill="1" applyBorder="1" applyAlignment="1">
      <alignment vertical="center" wrapText="1"/>
    </xf>
    <xf numFmtId="0" fontId="8" fillId="25" borderId="50" xfId="0" applyFont="1" applyFill="1" applyBorder="1" applyAlignment="1">
      <alignment horizontal="center" vertical="center"/>
    </xf>
    <xf numFmtId="0" fontId="8" fillId="25" borderId="44" xfId="0" applyFont="1" applyFill="1" applyBorder="1" applyAlignment="1">
      <alignment vertical="center"/>
    </xf>
    <xf numFmtId="3" fontId="8" fillId="25" borderId="44" xfId="0" applyNumberFormat="1" applyFont="1" applyFill="1" applyBorder="1" applyAlignment="1">
      <alignment vertical="center"/>
    </xf>
    <xf numFmtId="3" fontId="8" fillId="25" borderId="29" xfId="0" applyNumberFormat="1" applyFont="1" applyFill="1" applyBorder="1" applyAlignment="1">
      <alignment vertical="center"/>
    </xf>
    <xf numFmtId="3" fontId="8" fillId="25" borderId="31" xfId="0" applyNumberFormat="1" applyFont="1" applyFill="1" applyBorder="1" applyAlignment="1">
      <alignment vertical="center"/>
    </xf>
    <xf numFmtId="0" fontId="8" fillId="25" borderId="19" xfId="0" applyFont="1" applyFill="1" applyBorder="1" applyAlignment="1">
      <alignment horizontal="center" vertical="center"/>
    </xf>
    <xf numFmtId="0" fontId="8" fillId="25" borderId="44" xfId="0" applyFont="1" applyFill="1" applyBorder="1" applyAlignment="1">
      <alignment horizontal="left" vertical="center" wrapText="1"/>
    </xf>
    <xf numFmtId="3" fontId="8" fillId="25" borderId="54" xfId="0" applyNumberFormat="1" applyFont="1" applyFill="1" applyBorder="1" applyAlignment="1">
      <alignment vertical="center"/>
    </xf>
    <xf numFmtId="0" fontId="8" fillId="25" borderId="44" xfId="0" applyFont="1" applyFill="1" applyBorder="1" applyAlignment="1">
      <alignment vertical="center" wrapText="1"/>
    </xf>
    <xf numFmtId="0" fontId="6" fillId="25" borderId="44" xfId="0" applyFont="1" applyFill="1" applyBorder="1" applyAlignment="1">
      <alignment vertical="center"/>
    </xf>
    <xf numFmtId="3" fontId="43" fillId="25" borderId="44" xfId="0" applyNumberFormat="1" applyFont="1" applyFill="1" applyBorder="1" applyAlignment="1">
      <alignment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vertical="center"/>
    </xf>
    <xf numFmtId="3" fontId="8" fillId="25" borderId="22" xfId="0" applyNumberFormat="1" applyFont="1" applyFill="1" applyBorder="1" applyAlignment="1">
      <alignment vertical="center"/>
    </xf>
    <xf numFmtId="3" fontId="8" fillId="25" borderId="18" xfId="0" applyNumberFormat="1" applyFont="1" applyFill="1" applyBorder="1" applyAlignment="1">
      <alignment vertical="center"/>
    </xf>
    <xf numFmtId="0" fontId="6" fillId="25" borderId="80" xfId="0" applyFont="1" applyFill="1" applyBorder="1" applyAlignment="1">
      <alignment vertical="center" wrapText="1"/>
    </xf>
    <xf numFmtId="3" fontId="6" fillId="25" borderId="80" xfId="0" applyNumberFormat="1" applyFont="1" applyFill="1" applyBorder="1" applyAlignment="1">
      <alignment vertical="center"/>
    </xf>
    <xf numFmtId="3" fontId="6" fillId="25" borderId="80" xfId="0" applyNumberFormat="1" applyFont="1" applyFill="1" applyBorder="1" applyAlignment="1">
      <alignment vertical="center"/>
    </xf>
    <xf numFmtId="3" fontId="6" fillId="25" borderId="81" xfId="0" applyNumberFormat="1" applyFont="1" applyFill="1" applyBorder="1" applyAlignment="1">
      <alignment vertical="center"/>
    </xf>
    <xf numFmtId="3" fontId="6" fillId="25" borderId="82" xfId="0" applyNumberFormat="1" applyFont="1" applyFill="1" applyBorder="1" applyAlignment="1">
      <alignment vertical="center"/>
    </xf>
    <xf numFmtId="0" fontId="44" fillId="25" borderId="13" xfId="0" applyFont="1" applyFill="1" applyBorder="1" applyAlignment="1">
      <alignment horizontal="center" vertical="center"/>
    </xf>
    <xf numFmtId="0" fontId="6" fillId="25" borderId="80" xfId="0" applyFont="1" applyFill="1" applyBorder="1" applyAlignment="1">
      <alignment vertical="center" wrapText="1"/>
    </xf>
    <xf numFmtId="0" fontId="44" fillId="25" borderId="19" xfId="0" applyFont="1" applyFill="1" applyBorder="1" applyAlignment="1">
      <alignment horizontal="center" vertical="center"/>
    </xf>
    <xf numFmtId="0" fontId="6" fillId="25" borderId="44" xfId="0" applyFont="1" applyFill="1" applyBorder="1" applyAlignment="1">
      <alignment vertical="center"/>
    </xf>
    <xf numFmtId="3" fontId="6" fillId="25" borderId="44" xfId="0" applyNumberFormat="1" applyFont="1" applyFill="1" applyBorder="1" applyAlignment="1">
      <alignment vertical="center"/>
    </xf>
    <xf numFmtId="3" fontId="6" fillId="25" borderId="60" xfId="0" applyNumberFormat="1" applyFont="1" applyFill="1" applyBorder="1" applyAlignment="1">
      <alignment vertical="center"/>
    </xf>
    <xf numFmtId="3" fontId="0" fillId="24" borderId="0" xfId="0" applyNumberFormat="1" applyFont="1" applyFill="1" applyAlignment="1">
      <alignment/>
    </xf>
    <xf numFmtId="0" fontId="40" fillId="25" borderId="15" xfId="0" applyFont="1" applyFill="1" applyBorder="1" applyAlignment="1" applyProtection="1">
      <alignment horizontal="center"/>
      <protection hidden="1" locked="0"/>
    </xf>
    <xf numFmtId="0" fontId="8" fillId="25" borderId="13" xfId="0" applyFont="1" applyFill="1" applyBorder="1" applyAlignment="1" applyProtection="1">
      <alignment horizontal="center"/>
      <protection hidden="1" locked="0"/>
    </xf>
    <xf numFmtId="0" fontId="4" fillId="25" borderId="0" xfId="0" applyFont="1" applyFill="1" applyBorder="1" applyAlignment="1">
      <alignment/>
    </xf>
    <xf numFmtId="0" fontId="4" fillId="25" borderId="35" xfId="0" applyFont="1" applyFill="1" applyBorder="1" applyAlignment="1">
      <alignment/>
    </xf>
    <xf numFmtId="3" fontId="4" fillId="25" borderId="18" xfId="0" applyNumberFormat="1" applyFont="1" applyFill="1" applyBorder="1" applyAlignment="1">
      <alignment/>
    </xf>
    <xf numFmtId="0" fontId="20" fillId="25" borderId="16" xfId="0" applyFont="1" applyFill="1" applyBorder="1" applyAlignment="1">
      <alignment/>
    </xf>
    <xf numFmtId="0" fontId="20" fillId="0" borderId="16" xfId="0" applyFont="1" applyBorder="1" applyAlignment="1">
      <alignment/>
    </xf>
    <xf numFmtId="3" fontId="8" fillId="25" borderId="80" xfId="0" applyNumberFormat="1" applyFont="1" applyFill="1" applyBorder="1" applyAlignment="1">
      <alignment vertical="center"/>
    </xf>
    <xf numFmtId="0" fontId="6" fillId="24" borderId="0" xfId="0" applyFont="1" applyFill="1" applyAlignment="1">
      <alignment horizontal="right"/>
    </xf>
    <xf numFmtId="0" fontId="6" fillId="25" borderId="0" xfId="0" applyFont="1" applyFill="1" applyBorder="1" applyAlignment="1">
      <alignment horizontal="right"/>
    </xf>
    <xf numFmtId="3" fontId="40" fillId="0" borderId="38" xfId="0" applyNumberFormat="1" applyFont="1" applyFill="1" applyBorder="1" applyAlignment="1">
      <alignment vertical="center"/>
    </xf>
    <xf numFmtId="3" fontId="40" fillId="0" borderId="3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76" xfId="0" applyNumberFormat="1" applyFont="1" applyFill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15" fillId="0" borderId="60" xfId="0" applyNumberFormat="1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5" fillId="0" borderId="35" xfId="0" applyFont="1" applyFill="1" applyBorder="1" applyAlignment="1">
      <alignment/>
    </xf>
    <xf numFmtId="0" fontId="2" fillId="26" borderId="0" xfId="0" applyFont="1" applyFill="1" applyAlignment="1">
      <alignment/>
    </xf>
    <xf numFmtId="0" fontId="2" fillId="26" borderId="0" xfId="0" applyFont="1" applyFill="1" applyBorder="1" applyAlignment="1">
      <alignment horizontal="right"/>
    </xf>
    <xf numFmtId="0" fontId="11" fillId="26" borderId="0" xfId="0" applyFont="1" applyFill="1" applyAlignment="1">
      <alignment/>
    </xf>
    <xf numFmtId="0" fontId="2" fillId="26" borderId="0" xfId="0" applyFont="1" applyFill="1" applyAlignment="1">
      <alignment horizontal="right"/>
    </xf>
    <xf numFmtId="3" fontId="3" fillId="0" borderId="83" xfId="0" applyNumberFormat="1" applyFont="1" applyFill="1" applyBorder="1" applyAlignment="1" applyProtection="1">
      <alignment vertical="center"/>
      <protection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0" fontId="2" fillId="0" borderId="84" xfId="0" applyFont="1" applyFill="1" applyBorder="1" applyAlignment="1" applyProtection="1">
      <alignment vertical="center"/>
      <protection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0" fontId="2" fillId="26" borderId="0" xfId="0" applyFont="1" applyFill="1" applyBorder="1" applyAlignment="1" applyProtection="1">
      <alignment vertical="center"/>
      <protection/>
    </xf>
    <xf numFmtId="3" fontId="2" fillId="0" borderId="64" xfId="0" applyNumberFormat="1" applyFont="1" applyFill="1" applyBorder="1" applyAlignment="1" applyProtection="1">
      <alignment vertical="center"/>
      <protection/>
    </xf>
    <xf numFmtId="3" fontId="2" fillId="0" borderId="64" xfId="0" applyNumberFormat="1" applyFont="1" applyFill="1" applyBorder="1" applyAlignment="1" applyProtection="1">
      <alignment vertical="center"/>
      <protection/>
    </xf>
    <xf numFmtId="0" fontId="5" fillId="26" borderId="0" xfId="0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hidden="1"/>
    </xf>
    <xf numFmtId="3" fontId="5" fillId="0" borderId="64" xfId="0" applyNumberFormat="1" applyFont="1" applyFill="1" applyBorder="1" applyAlignment="1" applyProtection="1">
      <alignment vertical="center"/>
      <protection/>
    </xf>
    <xf numFmtId="3" fontId="2" fillId="0" borderId="83" xfId="0" applyNumberFormat="1" applyFont="1" applyFill="1" applyBorder="1" applyAlignment="1" applyProtection="1">
      <alignment vertical="center"/>
      <protection hidden="1"/>
    </xf>
    <xf numFmtId="3" fontId="3" fillId="0" borderId="85" xfId="0" applyNumberFormat="1" applyFont="1" applyFill="1" applyBorder="1" applyAlignment="1" applyProtection="1">
      <alignment vertical="center"/>
      <protection/>
    </xf>
    <xf numFmtId="0" fontId="4" fillId="26" borderId="86" xfId="0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2" fillId="0" borderId="39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3" fillId="0" borderId="73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3" fillId="0" borderId="88" xfId="0" applyNumberFormat="1" applyFont="1" applyFill="1" applyBorder="1" applyAlignment="1">
      <alignment vertical="center"/>
    </xf>
    <xf numFmtId="0" fontId="2" fillId="0" borderId="89" xfId="0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40" fillId="29" borderId="90" xfId="0" applyNumberFormat="1" applyFont="1" applyFill="1" applyBorder="1" applyAlignment="1">
      <alignment horizontal="center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0" fontId="29" fillId="0" borderId="17" xfId="0" applyFont="1" applyFill="1" applyBorder="1" applyAlignment="1">
      <alignment horizontal="center"/>
    </xf>
    <xf numFmtId="3" fontId="17" fillId="26" borderId="91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0" fontId="46" fillId="26" borderId="62" xfId="0" applyFont="1" applyFill="1" applyBorder="1" applyAlignment="1">
      <alignment horizontal="center"/>
    </xf>
    <xf numFmtId="0" fontId="46" fillId="26" borderId="64" xfId="0" applyFont="1" applyFill="1" applyBorder="1" applyAlignment="1">
      <alignment horizontal="left"/>
    </xf>
    <xf numFmtId="3" fontId="2" fillId="25" borderId="18" xfId="0" applyNumberFormat="1" applyFont="1" applyFill="1" applyBorder="1" applyAlignment="1">
      <alignment horizontal="right"/>
    </xf>
    <xf numFmtId="3" fontId="5" fillId="25" borderId="18" xfId="0" applyNumberFormat="1" applyFont="1" applyFill="1" applyBorder="1" applyAlignment="1">
      <alignment horizontal="right"/>
    </xf>
    <xf numFmtId="4" fontId="15" fillId="27" borderId="73" xfId="0" applyNumberFormat="1" applyFont="1" applyFill="1" applyBorder="1" applyAlignment="1">
      <alignment horizontal="right" vertical="center"/>
    </xf>
    <xf numFmtId="0" fontId="10" fillId="26" borderId="62" xfId="0" applyFont="1" applyFill="1" applyBorder="1" applyAlignment="1">
      <alignment horizontal="center"/>
    </xf>
    <xf numFmtId="0" fontId="2" fillId="26" borderId="93" xfId="0" applyFont="1" applyFill="1" applyBorder="1" applyAlignment="1">
      <alignment horizontal="left"/>
    </xf>
    <xf numFmtId="0" fontId="2" fillId="26" borderId="93" xfId="0" applyFont="1" applyFill="1" applyBorder="1" applyAlignment="1">
      <alignment wrapText="1"/>
    </xf>
    <xf numFmtId="0" fontId="19" fillId="26" borderId="64" xfId="0" applyFont="1" applyFill="1" applyBorder="1" applyAlignment="1">
      <alignment wrapText="1"/>
    </xf>
    <xf numFmtId="0" fontId="2" fillId="0" borderId="94" xfId="0" applyFont="1" applyFill="1" applyBorder="1" applyAlignment="1">
      <alignment horizontal="left"/>
    </xf>
    <xf numFmtId="0" fontId="2" fillId="26" borderId="93" xfId="0" applyFont="1" applyFill="1" applyBorder="1" applyAlignment="1">
      <alignment/>
    </xf>
    <xf numFmtId="0" fontId="19" fillId="0" borderId="9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0" borderId="93" xfId="0" applyFont="1" applyFill="1" applyBorder="1" applyAlignment="1">
      <alignment horizontal="left"/>
    </xf>
    <xf numFmtId="0" fontId="4" fillId="26" borderId="64" xfId="0" applyFont="1" applyFill="1" applyBorder="1" applyAlignment="1">
      <alignment horizontal="left"/>
    </xf>
    <xf numFmtId="0" fontId="17" fillId="26" borderId="96" xfId="0" applyFont="1" applyFill="1" applyBorder="1" applyAlignment="1">
      <alignment horizontal="center"/>
    </xf>
    <xf numFmtId="0" fontId="17" fillId="26" borderId="84" xfId="0" applyFont="1" applyFill="1" applyBorder="1" applyAlignment="1">
      <alignment horizontal="left"/>
    </xf>
    <xf numFmtId="4" fontId="17" fillId="27" borderId="60" xfId="0" applyNumberFormat="1" applyFont="1" applyFill="1" applyBorder="1" applyAlignment="1">
      <alignment horizontal="right"/>
    </xf>
    <xf numFmtId="0" fontId="17" fillId="24" borderId="14" xfId="0" applyFont="1" applyFill="1" applyBorder="1" applyAlignment="1">
      <alignment horizontal="center"/>
    </xf>
    <xf numFmtId="0" fontId="17" fillId="25" borderId="26" xfId="0" applyFont="1" applyFill="1" applyBorder="1" applyAlignment="1">
      <alignment horizontal="center"/>
    </xf>
    <xf numFmtId="0" fontId="17" fillId="25" borderId="24" xfId="0" applyFont="1" applyFill="1" applyBorder="1" applyAlignment="1">
      <alignment horizontal="center" vertical="center"/>
    </xf>
    <xf numFmtId="0" fontId="17" fillId="25" borderId="27" xfId="0" applyFont="1" applyFill="1" applyBorder="1" applyAlignment="1">
      <alignment horizontal="center" vertical="top"/>
    </xf>
    <xf numFmtId="3" fontId="17" fillId="24" borderId="11" xfId="0" applyNumberFormat="1" applyFont="1" applyFill="1" applyBorder="1" applyAlignment="1">
      <alignment horizontal="center"/>
    </xf>
    <xf numFmtId="3" fontId="17" fillId="24" borderId="14" xfId="0" applyNumberFormat="1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" fillId="25" borderId="26" xfId="0" applyFont="1" applyFill="1" applyBorder="1" applyAlignment="1">
      <alignment/>
    </xf>
    <xf numFmtId="0" fontId="4" fillId="25" borderId="27" xfId="0" applyFont="1" applyFill="1" applyBorder="1" applyAlignment="1">
      <alignment/>
    </xf>
    <xf numFmtId="0" fontId="17" fillId="26" borderId="97" xfId="0" applyFont="1" applyFill="1" applyBorder="1" applyAlignment="1">
      <alignment horizontal="left"/>
    </xf>
    <xf numFmtId="0" fontId="33" fillId="26" borderId="93" xfId="0" applyFont="1" applyFill="1" applyBorder="1" applyAlignment="1">
      <alignment horizontal="left"/>
    </xf>
    <xf numFmtId="0" fontId="4" fillId="26" borderId="93" xfId="0" applyFont="1" applyFill="1" applyBorder="1" applyAlignment="1">
      <alignment horizontal="left" vertical="center"/>
    </xf>
    <xf numFmtId="0" fontId="4" fillId="25" borderId="16" xfId="0" applyFont="1" applyFill="1" applyBorder="1" applyAlignment="1">
      <alignment horizontal="left" vertical="center"/>
    </xf>
    <xf numFmtId="0" fontId="4" fillId="26" borderId="16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/>
    </xf>
    <xf numFmtId="0" fontId="17" fillId="25" borderId="88" xfId="0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0" fontId="33" fillId="26" borderId="13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 vertical="center"/>
    </xf>
    <xf numFmtId="0" fontId="17" fillId="25" borderId="87" xfId="0" applyFont="1" applyFill="1" applyBorder="1" applyAlignment="1">
      <alignment horizontal="center" vertical="center"/>
    </xf>
    <xf numFmtId="0" fontId="17" fillId="26" borderId="64" xfId="0" applyFont="1" applyFill="1" applyBorder="1" applyAlignment="1">
      <alignment horizontal="left"/>
    </xf>
    <xf numFmtId="3" fontId="17" fillId="27" borderId="22" xfId="0" applyNumberFormat="1" applyFont="1" applyFill="1" applyBorder="1" applyAlignment="1">
      <alignment horizontal="right"/>
    </xf>
    <xf numFmtId="4" fontId="17" fillId="27" borderId="31" xfId="0" applyNumberFormat="1" applyFont="1" applyFill="1" applyBorder="1" applyAlignment="1">
      <alignment horizontal="right"/>
    </xf>
    <xf numFmtId="0" fontId="17" fillId="26" borderId="98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3" fontId="2" fillId="0" borderId="6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" fontId="17" fillId="0" borderId="85" xfId="0" applyNumberFormat="1" applyFont="1" applyFill="1" applyBorder="1" applyAlignment="1">
      <alignment vertical="center"/>
    </xf>
    <xf numFmtId="3" fontId="17" fillId="0" borderId="99" xfId="0" applyNumberFormat="1" applyFont="1" applyFill="1" applyBorder="1" applyAlignment="1">
      <alignment vertical="center"/>
    </xf>
    <xf numFmtId="3" fontId="17" fillId="0" borderId="100" xfId="0" applyNumberFormat="1" applyFont="1" applyFill="1" applyBorder="1" applyAlignment="1">
      <alignment vertical="center"/>
    </xf>
    <xf numFmtId="3" fontId="17" fillId="0" borderId="101" xfId="0" applyNumberFormat="1" applyFont="1" applyFill="1" applyBorder="1" applyAlignment="1">
      <alignment vertical="center"/>
    </xf>
    <xf numFmtId="3" fontId="17" fillId="0" borderId="75" xfId="0" applyNumberFormat="1" applyFont="1" applyFill="1" applyBorder="1" applyAlignment="1">
      <alignment vertical="center"/>
    </xf>
    <xf numFmtId="3" fontId="17" fillId="0" borderId="102" xfId="0" applyNumberFormat="1" applyFont="1" applyFill="1" applyBorder="1" applyAlignment="1">
      <alignment vertical="center"/>
    </xf>
    <xf numFmtId="3" fontId="17" fillId="0" borderId="103" xfId="0" applyNumberFormat="1" applyFont="1" applyFill="1" applyBorder="1" applyAlignment="1">
      <alignment vertical="center"/>
    </xf>
    <xf numFmtId="3" fontId="17" fillId="0" borderId="70" xfId="0" applyNumberFormat="1" applyFont="1" applyFill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105" xfId="0" applyNumberFormat="1" applyFont="1" applyFill="1" applyBorder="1" applyAlignment="1">
      <alignment vertical="center"/>
    </xf>
    <xf numFmtId="0" fontId="17" fillId="26" borderId="19" xfId="0" applyFont="1" applyFill="1" applyBorder="1" applyAlignment="1">
      <alignment horizontal="center"/>
    </xf>
    <xf numFmtId="0" fontId="17" fillId="26" borderId="106" xfId="0" applyFont="1" applyFill="1" applyBorder="1" applyAlignment="1">
      <alignment horizontal="left"/>
    </xf>
    <xf numFmtId="3" fontId="17" fillId="25" borderId="107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vertical="center"/>
    </xf>
    <xf numFmtId="4" fontId="3" fillId="0" borderId="73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right"/>
    </xf>
    <xf numFmtId="0" fontId="3" fillId="25" borderId="30" xfId="0" applyFont="1" applyFill="1" applyBorder="1" applyAlignment="1">
      <alignment horizontal="center"/>
    </xf>
    <xf numFmtId="0" fontId="3" fillId="25" borderId="31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7" fillId="25" borderId="24" xfId="0" applyFont="1" applyFill="1" applyBorder="1" applyAlignment="1">
      <alignment horizontal="center"/>
    </xf>
    <xf numFmtId="0" fontId="17" fillId="25" borderId="27" xfId="0" applyFont="1" applyFill="1" applyBorder="1" applyAlignment="1">
      <alignment horizontal="center"/>
    </xf>
    <xf numFmtId="0" fontId="2" fillId="0" borderId="108" xfId="0" applyNumberFormat="1" applyFont="1" applyFill="1" applyBorder="1" applyAlignment="1">
      <alignment horizontal="center"/>
    </xf>
    <xf numFmtId="0" fontId="2" fillId="0" borderId="109" xfId="0" applyNumberFormat="1" applyFont="1" applyFill="1" applyBorder="1" applyAlignment="1">
      <alignment horizontal="center"/>
    </xf>
    <xf numFmtId="0" fontId="2" fillId="0" borderId="110" xfId="0" applyNumberFormat="1" applyFont="1" applyFill="1" applyBorder="1" applyAlignment="1">
      <alignment horizontal="center"/>
    </xf>
    <xf numFmtId="0" fontId="17" fillId="0" borderId="111" xfId="0" applyFont="1" applyFill="1" applyBorder="1" applyAlignment="1">
      <alignment horizontal="center" vertical="center"/>
    </xf>
    <xf numFmtId="49" fontId="2" fillId="0" borderId="112" xfId="0" applyNumberFormat="1" applyFont="1" applyFill="1" applyBorder="1" applyAlignment="1">
      <alignment horizontal="center" vertical="center"/>
    </xf>
    <xf numFmtId="49" fontId="2" fillId="0" borderId="112" xfId="0" applyNumberFormat="1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29" fillId="0" borderId="114" xfId="0" applyFont="1" applyFill="1" applyBorder="1" applyAlignment="1">
      <alignment horizontal="center"/>
    </xf>
    <xf numFmtId="0" fontId="29" fillId="0" borderId="115" xfId="0" applyFont="1" applyFill="1" applyBorder="1" applyAlignment="1">
      <alignment horizontal="center"/>
    </xf>
    <xf numFmtId="0" fontId="29" fillId="0" borderId="116" xfId="0" applyFont="1" applyFill="1" applyBorder="1" applyAlignment="1">
      <alignment horizontal="center"/>
    </xf>
    <xf numFmtId="0" fontId="29" fillId="0" borderId="117" xfId="0" applyFont="1" applyFill="1" applyBorder="1" applyAlignment="1">
      <alignment horizontal="center"/>
    </xf>
    <xf numFmtId="49" fontId="3" fillId="26" borderId="118" xfId="0" applyNumberFormat="1" applyFont="1" applyFill="1" applyBorder="1" applyAlignment="1" applyProtection="1">
      <alignment horizontal="center" vertical="center"/>
      <protection/>
    </xf>
    <xf numFmtId="0" fontId="3" fillId="26" borderId="119" xfId="0" applyFont="1" applyFill="1" applyBorder="1" applyAlignment="1" applyProtection="1">
      <alignment horizontal="left" vertical="center"/>
      <protection/>
    </xf>
    <xf numFmtId="49" fontId="3" fillId="26" borderId="118" xfId="0" applyNumberFormat="1" applyFont="1" applyFill="1" applyBorder="1" applyAlignment="1" applyProtection="1">
      <alignment horizontal="center" vertical="center"/>
      <protection/>
    </xf>
    <xf numFmtId="0" fontId="3" fillId="26" borderId="119" xfId="0" applyFont="1" applyFill="1" applyBorder="1" applyAlignment="1" applyProtection="1">
      <alignment vertical="center"/>
      <protection/>
    </xf>
    <xf numFmtId="49" fontId="2" fillId="26" borderId="120" xfId="0" applyNumberFormat="1" applyFont="1" applyFill="1" applyBorder="1" applyAlignment="1" applyProtection="1">
      <alignment horizontal="center" vertical="center"/>
      <protection/>
    </xf>
    <xf numFmtId="0" fontId="2" fillId="0" borderId="112" xfId="0" applyFont="1" applyFill="1" applyBorder="1" applyAlignment="1" applyProtection="1">
      <alignment vertical="center"/>
      <protection/>
    </xf>
    <xf numFmtId="0" fontId="2" fillId="26" borderId="112" xfId="0" applyFont="1" applyFill="1" applyBorder="1" applyAlignment="1" applyProtection="1">
      <alignment vertical="center"/>
      <protection/>
    </xf>
    <xf numFmtId="49" fontId="2" fillId="26" borderId="121" xfId="0" applyNumberFormat="1" applyFont="1" applyFill="1" applyBorder="1" applyAlignment="1" applyProtection="1">
      <alignment horizontal="center" vertical="center"/>
      <protection/>
    </xf>
    <xf numFmtId="0" fontId="2" fillId="0" borderId="122" xfId="0" applyFont="1" applyFill="1" applyBorder="1" applyAlignment="1" applyProtection="1">
      <alignment vertical="center"/>
      <protection/>
    </xf>
    <xf numFmtId="0" fontId="3" fillId="26" borderId="118" xfId="0" applyFont="1" applyFill="1" applyBorder="1" applyAlignment="1" applyProtection="1">
      <alignment horizontal="center" vertical="center"/>
      <protection/>
    </xf>
    <xf numFmtId="0" fontId="3" fillId="26" borderId="119" xfId="0" applyFont="1" applyFill="1" applyBorder="1" applyAlignment="1" applyProtection="1">
      <alignment vertical="center"/>
      <protection/>
    </xf>
    <xf numFmtId="49" fontId="2" fillId="26" borderId="118" xfId="0" applyNumberFormat="1" applyFont="1" applyFill="1" applyBorder="1" applyAlignment="1" applyProtection="1">
      <alignment horizontal="center" vertical="center"/>
      <protection/>
    </xf>
    <xf numFmtId="0" fontId="2" fillId="26" borderId="119" xfId="0" applyFont="1" applyFill="1" applyBorder="1" applyAlignment="1" applyProtection="1">
      <alignment vertical="center"/>
      <protection/>
    </xf>
    <xf numFmtId="0" fontId="2" fillId="0" borderId="122" xfId="0" applyFont="1" applyFill="1" applyBorder="1" applyAlignment="1">
      <alignment horizontal="left" vertical="center"/>
    </xf>
    <xf numFmtId="0" fontId="3" fillId="26" borderId="118" xfId="0" applyFont="1" applyFill="1" applyBorder="1" applyAlignment="1" applyProtection="1">
      <alignment horizontal="center" vertical="center"/>
      <protection/>
    </xf>
    <xf numFmtId="49" fontId="2" fillId="26" borderId="120" xfId="0" applyNumberFormat="1" applyFont="1" applyFill="1" applyBorder="1" applyAlignment="1" applyProtection="1">
      <alignment horizontal="center" vertical="center"/>
      <protection/>
    </xf>
    <xf numFmtId="0" fontId="5" fillId="26" borderId="112" xfId="0" applyFont="1" applyFill="1" applyBorder="1" applyAlignment="1" applyProtection="1">
      <alignment vertical="center"/>
      <protection/>
    </xf>
    <xf numFmtId="0" fontId="2" fillId="26" borderId="112" xfId="0" applyFont="1" applyFill="1" applyBorder="1" applyAlignment="1">
      <alignment vertical="center"/>
    </xf>
    <xf numFmtId="0" fontId="45" fillId="26" borderId="112" xfId="0" applyFont="1" applyFill="1" applyBorder="1" applyAlignment="1" applyProtection="1">
      <alignment vertical="center"/>
      <protection/>
    </xf>
    <xf numFmtId="0" fontId="3" fillId="26" borderId="120" xfId="0" applyFont="1" applyFill="1" applyBorder="1" applyAlignment="1" applyProtection="1">
      <alignment horizontal="center" vertical="center"/>
      <protection/>
    </xf>
    <xf numFmtId="0" fontId="3" fillId="26" borderId="123" xfId="0" applyFont="1" applyFill="1" applyBorder="1" applyAlignment="1" applyProtection="1">
      <alignment horizontal="center" vertical="center"/>
      <protection/>
    </xf>
    <xf numFmtId="0" fontId="3" fillId="26" borderId="124" xfId="0" applyFont="1" applyFill="1" applyBorder="1" applyAlignment="1" applyProtection="1">
      <alignment vertical="center"/>
      <protection/>
    </xf>
    <xf numFmtId="0" fontId="3" fillId="26" borderId="121" xfId="0" applyFont="1" applyFill="1" applyBorder="1" applyAlignment="1" applyProtection="1">
      <alignment horizontal="center" vertical="center"/>
      <protection/>
    </xf>
    <xf numFmtId="0" fontId="17" fillId="26" borderId="118" xfId="0" applyFont="1" applyFill="1" applyBorder="1" applyAlignment="1" applyProtection="1">
      <alignment horizontal="center" vertical="center"/>
      <protection/>
    </xf>
    <xf numFmtId="3" fontId="17" fillId="26" borderId="119" xfId="0" applyNumberFormat="1" applyFont="1" applyFill="1" applyBorder="1" applyAlignment="1">
      <alignment vertical="center"/>
    </xf>
    <xf numFmtId="0" fontId="3" fillId="26" borderId="122" xfId="0" applyFont="1" applyFill="1" applyBorder="1" applyAlignment="1" applyProtection="1">
      <alignment vertical="center"/>
      <protection/>
    </xf>
    <xf numFmtId="0" fontId="3" fillId="26" borderId="125" xfId="0" applyFont="1" applyFill="1" applyBorder="1" applyAlignment="1" applyProtection="1">
      <alignment horizontal="center" vertical="center"/>
      <protection/>
    </xf>
    <xf numFmtId="0" fontId="3" fillId="26" borderId="126" xfId="0" applyFont="1" applyFill="1" applyBorder="1" applyAlignment="1" applyProtection="1">
      <alignment vertical="center"/>
      <protection/>
    </xf>
    <xf numFmtId="0" fontId="3" fillId="26" borderId="86" xfId="0" applyFont="1" applyFill="1" applyBorder="1" applyAlignment="1" applyProtection="1">
      <alignment horizontal="center" vertical="center"/>
      <protection/>
    </xf>
    <xf numFmtId="0" fontId="3" fillId="26" borderId="91" xfId="0" applyFont="1" applyFill="1" applyBorder="1" applyAlignment="1">
      <alignment vertical="center"/>
    </xf>
    <xf numFmtId="3" fontId="3" fillId="0" borderId="127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3" fillId="0" borderId="127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2" fillId="0" borderId="127" xfId="0" applyNumberFormat="1" applyFont="1" applyFill="1" applyBorder="1" applyAlignment="1" applyProtection="1">
      <alignment vertical="center"/>
      <protection locked="0"/>
    </xf>
    <xf numFmtId="3" fontId="2" fillId="0" borderId="128" xfId="0" applyNumberFormat="1" applyFont="1" applyFill="1" applyBorder="1" applyAlignment="1" applyProtection="1">
      <alignment vertical="center"/>
      <protection/>
    </xf>
    <xf numFmtId="3" fontId="3" fillId="0" borderId="103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/>
    </xf>
    <xf numFmtId="3" fontId="3" fillId="0" borderId="102" xfId="0" applyNumberFormat="1" applyFont="1" applyFill="1" applyBorder="1" applyAlignment="1" applyProtection="1">
      <alignment vertical="center"/>
      <protection/>
    </xf>
    <xf numFmtId="3" fontId="3" fillId="0" borderId="129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" fontId="3" fillId="0" borderId="129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/>
    </xf>
    <xf numFmtId="3" fontId="2" fillId="0" borderId="129" xfId="0" applyNumberFormat="1" applyFont="1" applyFill="1" applyBorder="1" applyAlignment="1" applyProtection="1">
      <alignment vertical="center"/>
      <protection locked="0"/>
    </xf>
    <xf numFmtId="3" fontId="2" fillId="0" borderId="130" xfId="0" applyNumberFormat="1" applyFont="1" applyFill="1" applyBorder="1" applyAlignment="1" applyProtection="1">
      <alignment vertical="center"/>
      <protection/>
    </xf>
    <xf numFmtId="3" fontId="3" fillId="0" borderId="75" xfId="0" applyNumberFormat="1" applyFont="1" applyFill="1" applyBorder="1" applyAlignment="1" applyProtection="1">
      <alignment vertical="center"/>
      <protection/>
    </xf>
    <xf numFmtId="0" fontId="4" fillId="26" borderId="0" xfId="0" applyFont="1" applyFill="1" applyBorder="1" applyAlignment="1">
      <alignment horizontal="left" vertical="center" wrapText="1"/>
    </xf>
    <xf numFmtId="0" fontId="4" fillId="26" borderId="6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5" fillId="26" borderId="120" xfId="0" applyFont="1" applyFill="1" applyBorder="1" applyAlignment="1" applyProtection="1">
      <alignment vertical="center"/>
      <protection/>
    </xf>
    <xf numFmtId="0" fontId="2" fillId="26" borderId="120" xfId="0" applyFont="1" applyFill="1" applyBorder="1" applyAlignment="1" applyProtection="1">
      <alignment vertical="center"/>
      <protection/>
    </xf>
    <xf numFmtId="0" fontId="4" fillId="26" borderId="64" xfId="0" applyFont="1" applyFill="1" applyBorder="1" applyAlignment="1">
      <alignment horizontal="left" vertical="center" wrapText="1"/>
    </xf>
    <xf numFmtId="0" fontId="4" fillId="26" borderId="64" xfId="0" applyFont="1" applyFill="1" applyBorder="1" applyAlignment="1">
      <alignment horizontal="left" vertical="top" wrapText="1"/>
    </xf>
    <xf numFmtId="0" fontId="4" fillId="26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24" borderId="0" xfId="0" applyFont="1" applyFill="1" applyAlignment="1">
      <alignment horizontal="right"/>
    </xf>
    <xf numFmtId="3" fontId="33" fillId="25" borderId="18" xfId="0" applyNumberFormat="1" applyFont="1" applyFill="1" applyBorder="1" applyAlignment="1">
      <alignment horizontal="right"/>
    </xf>
    <xf numFmtId="0" fontId="34" fillId="25" borderId="16" xfId="0" applyFont="1" applyFill="1" applyBorder="1" applyAlignment="1">
      <alignment horizontal="right"/>
    </xf>
    <xf numFmtId="3" fontId="8" fillId="25" borderId="41" xfId="0" applyNumberFormat="1" applyFont="1" applyFill="1" applyBorder="1" applyAlignment="1">
      <alignment vertical="center"/>
    </xf>
    <xf numFmtId="3" fontId="8" fillId="25" borderId="131" xfId="0" applyNumberFormat="1" applyFont="1" applyFill="1" applyBorder="1" applyAlignment="1">
      <alignment vertical="center"/>
    </xf>
    <xf numFmtId="3" fontId="3" fillId="26" borderId="0" xfId="0" applyNumberFormat="1" applyFont="1" applyFill="1" applyBorder="1" applyAlignment="1">
      <alignment horizontal="center" vertical="center"/>
    </xf>
    <xf numFmtId="0" fontId="40" fillId="26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3" fontId="4" fillId="25" borderId="22" xfId="0" applyNumberFormat="1" applyFont="1" applyFill="1" applyBorder="1" applyAlignment="1">
      <alignment horizontal="right" vertical="top"/>
    </xf>
    <xf numFmtId="4" fontId="4" fillId="25" borderId="31" xfId="0" applyNumberFormat="1" applyFont="1" applyFill="1" applyBorder="1" applyAlignment="1">
      <alignment horizontal="right" vertical="top"/>
    </xf>
    <xf numFmtId="0" fontId="4" fillId="26" borderId="6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27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3" fontId="2" fillId="0" borderId="120" xfId="0" applyNumberFormat="1" applyFont="1" applyFill="1" applyBorder="1" applyAlignment="1">
      <alignment vertical="center"/>
    </xf>
    <xf numFmtId="3" fontId="17" fillId="0" borderId="86" xfId="0" applyNumberFormat="1" applyFont="1" applyFill="1" applyBorder="1" applyAlignment="1">
      <alignment vertical="center"/>
    </xf>
    <xf numFmtId="3" fontId="2" fillId="0" borderId="121" xfId="0" applyNumberFormat="1" applyFont="1" applyFill="1" applyBorder="1" applyAlignment="1">
      <alignment vertical="center"/>
    </xf>
    <xf numFmtId="3" fontId="17" fillId="0" borderId="118" xfId="0" applyNumberFormat="1" applyFont="1" applyFill="1" applyBorder="1" applyAlignment="1">
      <alignment vertical="center"/>
    </xf>
    <xf numFmtId="3" fontId="17" fillId="0" borderId="118" xfId="0" applyNumberFormat="1" applyFont="1" applyFill="1" applyBorder="1" applyAlignment="1">
      <alignment vertical="center"/>
    </xf>
    <xf numFmtId="0" fontId="4" fillId="26" borderId="22" xfId="0" applyFont="1" applyFill="1" applyBorder="1" applyAlignment="1">
      <alignment horizontal="left" vertical="center" wrapText="1"/>
    </xf>
    <xf numFmtId="3" fontId="3" fillId="0" borderId="132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133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3" fillId="0" borderId="13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2" fillId="0" borderId="133" xfId="0" applyNumberFormat="1" applyFont="1" applyFill="1" applyBorder="1" applyAlignment="1" applyProtection="1">
      <alignment vertical="center"/>
      <protection locked="0"/>
    </xf>
    <xf numFmtId="3" fontId="2" fillId="0" borderId="134" xfId="0" applyNumberFormat="1" applyFont="1" applyFill="1" applyBorder="1" applyAlignment="1" applyProtection="1">
      <alignment vertical="center"/>
      <protection/>
    </xf>
    <xf numFmtId="3" fontId="3" fillId="0" borderId="71" xfId="0" applyNumberFormat="1" applyFont="1" applyFill="1" applyBorder="1" applyAlignment="1" applyProtection="1">
      <alignment vertical="center"/>
      <protection/>
    </xf>
    <xf numFmtId="3" fontId="3" fillId="0" borderId="133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>
      <alignment horizontal="center"/>
    </xf>
    <xf numFmtId="0" fontId="29" fillId="0" borderId="135" xfId="0" applyFont="1" applyFill="1" applyBorder="1" applyAlignment="1">
      <alignment horizontal="center"/>
    </xf>
    <xf numFmtId="0" fontId="29" fillId="0" borderId="13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29" fillId="0" borderId="137" xfId="0" applyFont="1" applyFill="1" applyBorder="1" applyAlignment="1">
      <alignment horizontal="center"/>
    </xf>
    <xf numFmtId="4" fontId="22" fillId="0" borderId="138" xfId="0" applyNumberFormat="1" applyFont="1" applyFill="1" applyBorder="1" applyAlignment="1">
      <alignment vertical="center"/>
    </xf>
    <xf numFmtId="4" fontId="22" fillId="0" borderId="139" xfId="0" applyNumberFormat="1" applyFont="1" applyFill="1" applyBorder="1" applyAlignment="1">
      <alignment vertical="center"/>
    </xf>
    <xf numFmtId="4" fontId="25" fillId="0" borderId="24" xfId="0" applyNumberFormat="1" applyFont="1" applyFill="1" applyBorder="1" applyAlignment="1">
      <alignment vertical="center"/>
    </xf>
    <xf numFmtId="4" fontId="22" fillId="0" borderId="140" xfId="0" applyNumberFormat="1" applyFont="1" applyFill="1" applyBorder="1" applyAlignment="1">
      <alignment vertical="center"/>
    </xf>
    <xf numFmtId="4" fontId="27" fillId="0" borderId="24" xfId="0" applyNumberFormat="1" applyFont="1" applyFill="1" applyBorder="1" applyAlignment="1">
      <alignment vertical="center"/>
    </xf>
    <xf numFmtId="4" fontId="25" fillId="0" borderId="141" xfId="0" applyNumberFormat="1" applyFont="1" applyFill="1" applyBorder="1" applyAlignment="1">
      <alignment vertical="center"/>
    </xf>
    <xf numFmtId="4" fontId="22" fillId="0" borderId="24" xfId="0" applyNumberFormat="1" applyFont="1" applyFill="1" applyBorder="1" applyAlignment="1">
      <alignment vertical="center"/>
    </xf>
    <xf numFmtId="4" fontId="25" fillId="0" borderId="140" xfId="0" applyNumberFormat="1" applyFont="1" applyFill="1" applyBorder="1" applyAlignment="1">
      <alignment vertical="center"/>
    </xf>
    <xf numFmtId="4" fontId="25" fillId="0" borderId="138" xfId="0" applyNumberFormat="1" applyFont="1" applyFill="1" applyBorder="1" applyAlignment="1">
      <alignment vertical="center"/>
    </xf>
    <xf numFmtId="4" fontId="25" fillId="0" borderId="142" xfId="0" applyNumberFormat="1" applyFont="1" applyFill="1" applyBorder="1" applyAlignment="1">
      <alignment vertical="center"/>
    </xf>
    <xf numFmtId="4" fontId="22" fillId="0" borderId="143" xfId="0" applyNumberFormat="1" applyFont="1" applyFill="1" applyBorder="1" applyAlignment="1">
      <alignment vertical="center"/>
    </xf>
    <xf numFmtId="4" fontId="22" fillId="0" borderId="110" xfId="0" applyNumberFormat="1" applyFont="1" applyFill="1" applyBorder="1" applyAlignment="1">
      <alignment vertical="center"/>
    </xf>
    <xf numFmtId="4" fontId="25" fillId="0" borderId="144" xfId="0" applyNumberFormat="1" applyFont="1" applyFill="1" applyBorder="1" applyAlignment="1">
      <alignment vertical="center"/>
    </xf>
    <xf numFmtId="0" fontId="2" fillId="26" borderId="145" xfId="58" applyFont="1" applyFill="1" applyBorder="1" applyAlignment="1">
      <alignment horizontal="center" vertical="center"/>
      <protection/>
    </xf>
    <xf numFmtId="0" fontId="3" fillId="26" borderId="145" xfId="58" applyFont="1" applyFill="1" applyBorder="1" applyAlignment="1">
      <alignment horizontal="center" vertical="center"/>
      <protection/>
    </xf>
    <xf numFmtId="0" fontId="3" fillId="26" borderId="146" xfId="58" applyFont="1" applyFill="1" applyBorder="1" applyAlignment="1">
      <alignment horizontal="center" vertical="center"/>
      <protection/>
    </xf>
    <xf numFmtId="0" fontId="3" fillId="0" borderId="147" xfId="58" applyFont="1" applyFill="1" applyBorder="1" applyAlignment="1">
      <alignment horizontal="center"/>
      <protection/>
    </xf>
    <xf numFmtId="0" fontId="69" fillId="0" borderId="0" xfId="58">
      <alignment/>
      <protection/>
    </xf>
    <xf numFmtId="0" fontId="2" fillId="26" borderId="64" xfId="58" applyFont="1" applyFill="1" applyBorder="1" applyAlignment="1">
      <alignment horizontal="center" vertical="center"/>
      <protection/>
    </xf>
    <xf numFmtId="0" fontId="3" fillId="26" borderId="64" xfId="58" applyFont="1" applyFill="1" applyBorder="1" applyAlignment="1">
      <alignment horizontal="center" vertical="center"/>
      <protection/>
    </xf>
    <xf numFmtId="0" fontId="3" fillId="26" borderId="67" xfId="58" applyFont="1" applyFill="1" applyBorder="1" applyAlignment="1">
      <alignment horizontal="center" vertical="center"/>
      <protection/>
    </xf>
    <xf numFmtId="0" fontId="3" fillId="26" borderId="148" xfId="58" applyFont="1" applyFill="1" applyBorder="1" applyAlignment="1">
      <alignment horizontal="center" vertical="center"/>
      <protection/>
    </xf>
    <xf numFmtId="0" fontId="2" fillId="26" borderId="84" xfId="58" applyFont="1" applyFill="1" applyBorder="1" applyAlignment="1">
      <alignment horizontal="center" vertical="center"/>
      <protection/>
    </xf>
    <xf numFmtId="0" fontId="3" fillId="26" borderId="84" xfId="58" applyFont="1" applyFill="1" applyBorder="1" applyAlignment="1">
      <alignment horizontal="center" vertical="center"/>
      <protection/>
    </xf>
    <xf numFmtId="0" fontId="3" fillId="26" borderId="149" xfId="58" applyFont="1" applyFill="1" applyBorder="1" applyAlignment="1">
      <alignment horizontal="center" vertical="center"/>
      <protection/>
    </xf>
    <xf numFmtId="0" fontId="3" fillId="0" borderId="150" xfId="58" applyFont="1" applyFill="1" applyBorder="1" applyAlignment="1">
      <alignment horizontal="center"/>
      <protection/>
    </xf>
    <xf numFmtId="0" fontId="14" fillId="26" borderId="151" xfId="58" applyFont="1" applyFill="1" applyBorder="1" applyAlignment="1">
      <alignment horizontal="center" vertical="center"/>
      <protection/>
    </xf>
    <xf numFmtId="0" fontId="2" fillId="26" borderId="83" xfId="58" applyFont="1" applyFill="1" applyBorder="1" applyAlignment="1">
      <alignment horizontal="center" vertical="center"/>
      <protection/>
    </xf>
    <xf numFmtId="0" fontId="2" fillId="26" borderId="149" xfId="58" applyFont="1" applyFill="1" applyBorder="1" applyAlignment="1">
      <alignment horizontal="center" vertical="center"/>
      <protection/>
    </xf>
    <xf numFmtId="0" fontId="14" fillId="26" borderId="62" xfId="58" applyFont="1" applyFill="1" applyBorder="1" applyAlignment="1">
      <alignment horizontal="center" vertical="center"/>
      <protection/>
    </xf>
    <xf numFmtId="0" fontId="2" fillId="26" borderId="64" xfId="58" applyFont="1" applyFill="1" applyBorder="1" applyAlignment="1">
      <alignment vertical="center"/>
      <protection/>
    </xf>
    <xf numFmtId="0" fontId="2" fillId="26" borderId="67" xfId="58" applyFont="1" applyFill="1" applyBorder="1" applyAlignment="1">
      <alignment vertical="center"/>
      <protection/>
    </xf>
    <xf numFmtId="0" fontId="2" fillId="0" borderId="148" xfId="58" applyFont="1" applyFill="1" applyBorder="1" applyAlignment="1">
      <alignment vertical="center"/>
      <protection/>
    </xf>
    <xf numFmtId="3" fontId="2" fillId="26" borderId="64" xfId="58" applyNumberFormat="1" applyFont="1" applyFill="1" applyBorder="1" applyAlignment="1">
      <alignment vertical="center"/>
      <protection/>
    </xf>
    <xf numFmtId="3" fontId="2" fillId="26" borderId="67" xfId="58" applyNumberFormat="1" applyFont="1" applyFill="1" applyBorder="1" applyAlignment="1">
      <alignment vertical="center"/>
      <protection/>
    </xf>
    <xf numFmtId="3" fontId="2" fillId="0" borderId="148" xfId="58" applyNumberFormat="1" applyFont="1" applyFill="1" applyBorder="1" applyAlignment="1">
      <alignment vertical="center"/>
      <protection/>
    </xf>
    <xf numFmtId="0" fontId="2" fillId="26" borderId="64" xfId="58" applyFont="1" applyFill="1" applyBorder="1" applyAlignment="1">
      <alignment horizontal="left" vertical="center"/>
      <protection/>
    </xf>
    <xf numFmtId="3" fontId="2" fillId="26" borderId="64" xfId="58" applyNumberFormat="1" applyFont="1" applyFill="1" applyBorder="1" applyAlignment="1">
      <alignment horizontal="right" vertical="center"/>
      <protection/>
    </xf>
    <xf numFmtId="3" fontId="2" fillId="26" borderId="67" xfId="58" applyNumberFormat="1" applyFont="1" applyFill="1" applyBorder="1" applyAlignment="1">
      <alignment horizontal="right" vertical="center"/>
      <protection/>
    </xf>
    <xf numFmtId="0" fontId="2" fillId="0" borderId="64" xfId="58" applyFont="1" applyFill="1" applyBorder="1" applyAlignment="1">
      <alignment horizontal="left" vertical="center"/>
      <protection/>
    </xf>
    <xf numFmtId="0" fontId="25" fillId="0" borderId="64" xfId="58" applyFont="1" applyBorder="1">
      <alignment/>
      <protection/>
    </xf>
    <xf numFmtId="0" fontId="10" fillId="26" borderId="151" xfId="58" applyFont="1" applyFill="1" applyBorder="1" applyAlignment="1">
      <alignment horizontal="center" vertical="center"/>
      <protection/>
    </xf>
    <xf numFmtId="0" fontId="10" fillId="26" borderId="83" xfId="58" applyFont="1" applyFill="1" applyBorder="1" applyAlignment="1">
      <alignment vertical="center"/>
      <protection/>
    </xf>
    <xf numFmtId="3" fontId="10" fillId="26" borderId="83" xfId="58" applyNumberFormat="1" applyFont="1" applyFill="1" applyBorder="1" applyAlignment="1">
      <alignment vertical="center"/>
      <protection/>
    </xf>
    <xf numFmtId="3" fontId="5" fillId="26" borderId="83" xfId="58" applyNumberFormat="1" applyFont="1" applyFill="1" applyBorder="1" applyAlignment="1">
      <alignment vertical="center"/>
      <protection/>
    </xf>
    <xf numFmtId="3" fontId="10" fillId="0" borderId="152" xfId="58" applyNumberFormat="1" applyFont="1" applyFill="1" applyBorder="1" applyAlignment="1">
      <alignment vertical="center"/>
      <protection/>
    </xf>
    <xf numFmtId="0" fontId="2" fillId="26" borderId="98" xfId="58" applyFont="1" applyFill="1" applyBorder="1" applyAlignment="1">
      <alignment horizontal="center" vertical="center"/>
      <protection/>
    </xf>
    <xf numFmtId="0" fontId="2" fillId="26" borderId="132" xfId="58" applyFont="1" applyFill="1" applyBorder="1" applyAlignment="1">
      <alignment vertical="center"/>
      <protection/>
    </xf>
    <xf numFmtId="3" fontId="2" fillId="26" borderId="132" xfId="58" applyNumberFormat="1" applyFont="1" applyFill="1" applyBorder="1" applyAlignment="1">
      <alignment vertical="center"/>
      <protection/>
    </xf>
    <xf numFmtId="3" fontId="2" fillId="26" borderId="153" xfId="58" applyNumberFormat="1" applyFont="1" applyFill="1" applyBorder="1" applyAlignment="1">
      <alignment vertical="center"/>
      <protection/>
    </xf>
    <xf numFmtId="3" fontId="3" fillId="0" borderId="154" xfId="58" applyNumberFormat="1" applyFont="1" applyFill="1" applyBorder="1" applyAlignment="1">
      <alignment vertical="center"/>
      <protection/>
    </xf>
    <xf numFmtId="0" fontId="2" fillId="26" borderId="62" xfId="58" applyFont="1" applyFill="1" applyBorder="1" applyAlignment="1">
      <alignment horizontal="center" vertical="center"/>
      <protection/>
    </xf>
    <xf numFmtId="0" fontId="70" fillId="26" borderId="62" xfId="58" applyFont="1" applyFill="1" applyBorder="1" applyAlignment="1">
      <alignment horizontal="center" vertical="center"/>
      <protection/>
    </xf>
    <xf numFmtId="0" fontId="19" fillId="26" borderId="64" xfId="58" applyFont="1" applyFill="1" applyBorder="1" applyAlignment="1">
      <alignment vertical="center"/>
      <protection/>
    </xf>
    <xf numFmtId="3" fontId="5" fillId="26" borderId="64" xfId="58" applyNumberFormat="1" applyFont="1" applyFill="1" applyBorder="1" applyAlignment="1">
      <alignment vertical="center"/>
      <protection/>
    </xf>
    <xf numFmtId="3" fontId="19" fillId="26" borderId="64" xfId="58" applyNumberFormat="1" applyFont="1" applyFill="1" applyBorder="1" applyAlignment="1">
      <alignment vertical="center"/>
      <protection/>
    </xf>
    <xf numFmtId="3" fontId="19" fillId="0" borderId="148" xfId="58" applyNumberFormat="1" applyFont="1" applyFill="1" applyBorder="1" applyAlignment="1">
      <alignment vertical="center"/>
      <protection/>
    </xf>
    <xf numFmtId="3" fontId="2" fillId="0" borderId="64" xfId="58" applyNumberFormat="1" applyFont="1" applyFill="1" applyBorder="1" applyAlignment="1">
      <alignment horizontal="right" vertical="center"/>
      <protection/>
    </xf>
    <xf numFmtId="3" fontId="2" fillId="0" borderId="67" xfId="58" applyNumberFormat="1" applyFont="1" applyFill="1" applyBorder="1" applyAlignment="1">
      <alignment horizontal="right" vertical="center"/>
      <protection/>
    </xf>
    <xf numFmtId="0" fontId="2" fillId="0" borderId="64" xfId="58" applyFont="1" applyFill="1" applyBorder="1" applyAlignment="1">
      <alignment horizontal="left"/>
      <protection/>
    </xf>
    <xf numFmtId="0" fontId="2" fillId="0" borderId="64" xfId="58" applyFont="1" applyBorder="1" applyAlignment="1">
      <alignment vertical="center"/>
      <protection/>
    </xf>
    <xf numFmtId="0" fontId="2" fillId="0" borderId="67" xfId="58" applyFont="1" applyBorder="1" applyAlignment="1">
      <alignment vertical="center"/>
      <protection/>
    </xf>
    <xf numFmtId="3" fontId="2" fillId="0" borderId="148" xfId="58" applyNumberFormat="1" applyFont="1" applyFill="1" applyBorder="1" applyAlignment="1">
      <alignment vertical="center"/>
      <protection/>
    </xf>
    <xf numFmtId="0" fontId="5" fillId="26" borderId="62" xfId="58" applyFont="1" applyFill="1" applyBorder="1" applyAlignment="1">
      <alignment horizontal="center" vertical="center"/>
      <protection/>
    </xf>
    <xf numFmtId="0" fontId="71" fillId="26" borderId="62" xfId="58" applyFont="1" applyFill="1" applyBorder="1" applyAlignment="1">
      <alignment horizontal="center" vertical="center"/>
      <protection/>
    </xf>
    <xf numFmtId="0" fontId="5" fillId="26" borderId="64" xfId="58" applyFont="1" applyFill="1" applyBorder="1" applyAlignment="1">
      <alignment vertical="center"/>
      <protection/>
    </xf>
    <xf numFmtId="3" fontId="5" fillId="26" borderId="67" xfId="58" applyNumberFormat="1" applyFont="1" applyFill="1" applyBorder="1" applyAlignment="1">
      <alignment vertical="center"/>
      <protection/>
    </xf>
    <xf numFmtId="3" fontId="5" fillId="0" borderId="148" xfId="58" applyNumberFormat="1" applyFont="1" applyFill="1" applyBorder="1" applyAlignment="1">
      <alignment horizontal="right" vertical="center"/>
      <protection/>
    </xf>
    <xf numFmtId="0" fontId="2" fillId="26" borderId="64" xfId="58" applyFont="1" applyFill="1" applyBorder="1" applyAlignment="1">
      <alignment vertical="center" wrapText="1"/>
      <protection/>
    </xf>
    <xf numFmtId="0" fontId="2" fillId="0" borderId="64" xfId="58" applyFont="1" applyFill="1" applyBorder="1" applyAlignment="1">
      <alignment horizontal="left"/>
      <protection/>
    </xf>
    <xf numFmtId="0" fontId="2" fillId="0" borderId="64" xfId="58" applyFont="1" applyFill="1" applyBorder="1" applyAlignment="1">
      <alignment horizontal="left" wrapText="1"/>
      <protection/>
    </xf>
    <xf numFmtId="3" fontId="2" fillId="26" borderId="84" xfId="58" applyNumberFormat="1" applyFont="1" applyFill="1" applyBorder="1" applyAlignment="1">
      <alignment vertical="center"/>
      <protection/>
    </xf>
    <xf numFmtId="0" fontId="2" fillId="26" borderId="96" xfId="58" applyFont="1" applyFill="1" applyBorder="1" applyAlignment="1">
      <alignment horizontal="center" vertical="center"/>
      <protection/>
    </xf>
    <xf numFmtId="0" fontId="2" fillId="26" borderId="84" xfId="58" applyFont="1" applyFill="1" applyBorder="1" applyAlignment="1">
      <alignment vertical="center"/>
      <protection/>
    </xf>
    <xf numFmtId="3" fontId="2" fillId="26" borderId="149" xfId="58" applyNumberFormat="1" applyFont="1" applyFill="1" applyBorder="1" applyAlignment="1">
      <alignment vertical="center"/>
      <protection/>
    </xf>
    <xf numFmtId="0" fontId="2" fillId="0" borderId="150" xfId="58" applyFont="1" applyFill="1" applyBorder="1" applyAlignment="1">
      <alignment vertical="center"/>
      <protection/>
    </xf>
    <xf numFmtId="0" fontId="15" fillId="26" borderId="155" xfId="58" applyFont="1" applyFill="1" applyBorder="1" applyAlignment="1">
      <alignment horizontal="center" vertical="center"/>
      <protection/>
    </xf>
    <xf numFmtId="0" fontId="15" fillId="26" borderId="156" xfId="58" applyFont="1" applyFill="1" applyBorder="1" applyAlignment="1">
      <alignment vertical="center"/>
      <protection/>
    </xf>
    <xf numFmtId="3" fontId="15" fillId="26" borderId="156" xfId="58" applyNumberFormat="1" applyFont="1" applyFill="1" applyBorder="1" applyAlignment="1">
      <alignment vertical="center"/>
      <protection/>
    </xf>
    <xf numFmtId="3" fontId="40" fillId="26" borderId="156" xfId="58" applyNumberFormat="1" applyFont="1" applyFill="1" applyBorder="1" applyAlignment="1">
      <alignment vertical="center"/>
      <protection/>
    </xf>
    <xf numFmtId="3" fontId="15" fillId="0" borderId="157" xfId="58" applyNumberFormat="1" applyFont="1" applyFill="1" applyBorder="1" applyAlignment="1">
      <alignment vertical="center"/>
      <protection/>
    </xf>
    <xf numFmtId="0" fontId="3" fillId="26" borderId="126" xfId="0" applyFont="1" applyFill="1" applyBorder="1" applyAlignment="1" applyProtection="1">
      <alignment vertical="center"/>
      <protection/>
    </xf>
    <xf numFmtId="3" fontId="3" fillId="0" borderId="127" xfId="0" applyNumberFormat="1" applyFont="1" applyFill="1" applyBorder="1" applyAlignment="1" applyProtection="1">
      <alignment vertical="center"/>
      <protection locked="0"/>
    </xf>
    <xf numFmtId="3" fontId="3" fillId="0" borderId="129" xfId="0" applyNumberFormat="1" applyFont="1" applyFill="1" applyBorder="1" applyAlignment="1" applyProtection="1">
      <alignment vertical="center"/>
      <protection locked="0"/>
    </xf>
    <xf numFmtId="165" fontId="17" fillId="0" borderId="100" xfId="0" applyNumberFormat="1" applyFont="1" applyFill="1" applyBorder="1" applyAlignment="1">
      <alignment vertical="center"/>
    </xf>
    <xf numFmtId="165" fontId="17" fillId="0" borderId="102" xfId="0" applyNumberFormat="1" applyFont="1" applyFill="1" applyBorder="1" applyAlignment="1">
      <alignment vertical="center"/>
    </xf>
    <xf numFmtId="165" fontId="17" fillId="0" borderId="75" xfId="0" applyNumberFormat="1" applyFont="1" applyFill="1" applyBorder="1" applyAlignment="1">
      <alignment vertical="center"/>
    </xf>
    <xf numFmtId="165" fontId="17" fillId="0" borderId="104" xfId="0" applyNumberFormat="1" applyFont="1" applyFill="1" applyBorder="1" applyAlignment="1">
      <alignment vertical="center"/>
    </xf>
    <xf numFmtId="165" fontId="17" fillId="0" borderId="85" xfId="0" applyNumberFormat="1" applyFont="1" applyFill="1" applyBorder="1" applyAlignment="1">
      <alignment vertical="center"/>
    </xf>
    <xf numFmtId="166" fontId="11" fillId="26" borderId="0" xfId="56" applyNumberFormat="1" applyFont="1" applyFill="1" applyAlignment="1">
      <alignment horizontal="left"/>
      <protection/>
    </xf>
    <xf numFmtId="166" fontId="11" fillId="26" borderId="0" xfId="56" applyNumberFormat="1" applyFont="1" applyFill="1">
      <alignment/>
      <protection/>
    </xf>
    <xf numFmtId="0" fontId="69" fillId="0" borderId="0" xfId="56" applyFill="1" applyAlignment="1">
      <alignment horizontal="center"/>
      <protection/>
    </xf>
    <xf numFmtId="0" fontId="69" fillId="0" borderId="0" xfId="56" applyAlignment="1">
      <alignment horizontal="center"/>
      <protection/>
    </xf>
    <xf numFmtId="0" fontId="69" fillId="26" borderId="0" xfId="56" applyFill="1" applyAlignment="1">
      <alignment horizontal="center"/>
      <protection/>
    </xf>
    <xf numFmtId="0" fontId="2" fillId="26" borderId="0" xfId="56" applyFont="1" applyFill="1">
      <alignment/>
      <protection/>
    </xf>
    <xf numFmtId="0" fontId="2" fillId="26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2" fillId="0" borderId="0" xfId="56" applyFont="1">
      <alignment/>
      <protection/>
    </xf>
    <xf numFmtId="0" fontId="2" fillId="26" borderId="0" xfId="56" applyFont="1" applyFill="1" applyBorder="1" applyAlignment="1">
      <alignment horizontal="center"/>
      <protection/>
    </xf>
    <xf numFmtId="0" fontId="2" fillId="26" borderId="0" xfId="56" applyFont="1" applyFill="1" applyBorder="1" applyAlignment="1">
      <alignment/>
      <protection/>
    </xf>
    <xf numFmtId="0" fontId="2" fillId="0" borderId="0" xfId="56" applyFont="1" applyAlignment="1">
      <alignment horizontal="center"/>
      <protection/>
    </xf>
    <xf numFmtId="3" fontId="40" fillId="0" borderId="0" xfId="56" applyNumberFormat="1" applyFont="1">
      <alignment/>
      <protection/>
    </xf>
    <xf numFmtId="3" fontId="40" fillId="26" borderId="0" xfId="56" applyNumberFormat="1" applyFont="1" applyFill="1" applyBorder="1">
      <alignment/>
      <protection/>
    </xf>
    <xf numFmtId="0" fontId="40" fillId="0" borderId="0" xfId="56" applyFont="1">
      <alignment/>
      <protection/>
    </xf>
    <xf numFmtId="0" fontId="40" fillId="26" borderId="0" xfId="56" applyFont="1" applyFill="1" applyBorder="1" applyAlignment="1">
      <alignment vertical="center" wrapText="1"/>
      <protection/>
    </xf>
    <xf numFmtId="3" fontId="40" fillId="26" borderId="0" xfId="56" applyNumberFormat="1" applyFont="1" applyFill="1" applyBorder="1" applyAlignment="1">
      <alignment vertical="center"/>
      <protection/>
    </xf>
    <xf numFmtId="4" fontId="2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0" fontId="3" fillId="25" borderId="158" xfId="0" applyFont="1" applyFill="1" applyBorder="1" applyAlignment="1">
      <alignment horizontal="center"/>
    </xf>
    <xf numFmtId="0" fontId="2" fillId="25" borderId="159" xfId="0" applyFont="1" applyFill="1" applyBorder="1" applyAlignment="1">
      <alignment horizontal="center"/>
    </xf>
    <xf numFmtId="4" fontId="40" fillId="30" borderId="156" xfId="0" applyNumberFormat="1" applyFont="1" applyFill="1" applyBorder="1" applyAlignment="1" applyProtection="1">
      <alignment vertical="center"/>
      <protection hidden="1"/>
    </xf>
    <xf numFmtId="4" fontId="40" fillId="31" borderId="16" xfId="0" applyNumberFormat="1" applyFont="1" applyFill="1" applyBorder="1" applyAlignment="1" applyProtection="1">
      <alignment vertical="center"/>
      <protection hidden="1"/>
    </xf>
    <xf numFmtId="3" fontId="15" fillId="29" borderId="160" xfId="56" applyNumberFormat="1" applyFont="1" applyFill="1" applyBorder="1" applyAlignment="1">
      <alignment horizontal="center"/>
      <protection/>
    </xf>
    <xf numFmtId="4" fontId="40" fillId="31" borderId="148" xfId="0" applyNumberFormat="1" applyFont="1" applyFill="1" applyBorder="1" applyAlignment="1" applyProtection="1">
      <alignment vertical="center"/>
      <protection hidden="1"/>
    </xf>
    <xf numFmtId="4" fontId="40" fillId="30" borderId="157" xfId="0" applyNumberFormat="1" applyFont="1" applyFill="1" applyBorder="1" applyAlignment="1" applyProtection="1">
      <alignment vertical="center"/>
      <protection hidden="1"/>
    </xf>
    <xf numFmtId="0" fontId="17" fillId="26" borderId="0" xfId="0" applyFont="1" applyFill="1" applyBorder="1" applyAlignment="1">
      <alignment horizontal="center"/>
    </xf>
    <xf numFmtId="0" fontId="72" fillId="26" borderId="93" xfId="0" applyFont="1" applyFill="1" applyBorder="1" applyAlignment="1">
      <alignment horizontal="left"/>
    </xf>
    <xf numFmtId="0" fontId="72" fillId="26" borderId="64" xfId="0" applyFont="1" applyFill="1" applyBorder="1" applyAlignment="1">
      <alignment horizontal="left"/>
    </xf>
    <xf numFmtId="0" fontId="18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17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64" xfId="0" applyFont="1" applyFill="1" applyBorder="1" applyAlignment="1">
      <alignment horizontal="left"/>
    </xf>
    <xf numFmtId="0" fontId="5" fillId="26" borderId="132" xfId="0" applyFont="1" applyFill="1" applyBorder="1" applyAlignment="1">
      <alignment horizontal="left"/>
    </xf>
    <xf numFmtId="0" fontId="2" fillId="26" borderId="0" xfId="0" applyFont="1" applyFill="1" applyAlignment="1">
      <alignment vertical="top"/>
    </xf>
    <xf numFmtId="0" fontId="73" fillId="26" borderId="161" xfId="0" applyFont="1" applyFill="1" applyBorder="1" applyAlignment="1">
      <alignment horizontal="left" vertical="center"/>
    </xf>
    <xf numFmtId="3" fontId="73" fillId="26" borderId="161" xfId="0" applyNumberFormat="1" applyFont="1" applyFill="1" applyBorder="1" applyAlignment="1">
      <alignment horizontal="right" vertical="center"/>
    </xf>
    <xf numFmtId="3" fontId="73" fillId="0" borderId="161" xfId="0" applyNumberFormat="1" applyFont="1" applyFill="1" applyBorder="1" applyAlignment="1">
      <alignment horizontal="right" vertical="center"/>
    </xf>
    <xf numFmtId="4" fontId="73" fillId="0" borderId="162" xfId="0" applyNumberFormat="1" applyFont="1" applyFill="1" applyBorder="1" applyAlignment="1">
      <alignment horizontal="right" vertical="center"/>
    </xf>
    <xf numFmtId="4" fontId="74" fillId="27" borderId="60" xfId="0" applyNumberFormat="1" applyFont="1" applyFill="1" applyBorder="1" applyAlignment="1">
      <alignment horizontal="right"/>
    </xf>
    <xf numFmtId="0" fontId="74" fillId="26" borderId="96" xfId="0" applyFont="1" applyFill="1" applyBorder="1" applyAlignment="1">
      <alignment horizontal="center"/>
    </xf>
    <xf numFmtId="0" fontId="74" fillId="26" borderId="84" xfId="0" applyFont="1" applyFill="1" applyBorder="1" applyAlignment="1">
      <alignment horizontal="left"/>
    </xf>
    <xf numFmtId="0" fontId="75" fillId="0" borderId="163" xfId="0" applyFont="1" applyBorder="1" applyAlignment="1">
      <alignment/>
    </xf>
    <xf numFmtId="3" fontId="74" fillId="26" borderId="84" xfId="0" applyNumberFormat="1" applyFont="1" applyFill="1" applyBorder="1" applyAlignment="1">
      <alignment horizontal="right"/>
    </xf>
    <xf numFmtId="3" fontId="74" fillId="0" borderId="84" xfId="0" applyNumberFormat="1" applyFont="1" applyFill="1" applyBorder="1" applyAlignment="1">
      <alignment horizontal="right"/>
    </xf>
    <xf numFmtId="0" fontId="75" fillId="0" borderId="62" xfId="0" applyFont="1" applyBorder="1" applyAlignment="1">
      <alignment horizontal="center"/>
    </xf>
    <xf numFmtId="0" fontId="75" fillId="0" borderId="64" xfId="0" applyFont="1" applyFill="1" applyBorder="1" applyAlignment="1">
      <alignment horizontal="left"/>
    </xf>
    <xf numFmtId="0" fontId="75" fillId="0" borderId="64" xfId="0" applyFont="1" applyBorder="1" applyAlignment="1">
      <alignment/>
    </xf>
    <xf numFmtId="0" fontId="75" fillId="25" borderId="22" xfId="0" applyFont="1" applyFill="1" applyBorder="1" applyAlignment="1">
      <alignment horizontal="left"/>
    </xf>
    <xf numFmtId="3" fontId="75" fillId="25" borderId="22" xfId="0" applyNumberFormat="1" applyFont="1" applyFill="1" applyBorder="1" applyAlignment="1">
      <alignment horizontal="right"/>
    </xf>
    <xf numFmtId="3" fontId="75" fillId="25" borderId="31" xfId="0" applyNumberFormat="1" applyFont="1" applyFill="1" applyBorder="1" applyAlignment="1">
      <alignment horizontal="right"/>
    </xf>
    <xf numFmtId="0" fontId="75" fillId="26" borderId="62" xfId="0" applyFont="1" applyFill="1" applyBorder="1" applyAlignment="1">
      <alignment horizontal="center" vertical="center"/>
    </xf>
    <xf numFmtId="0" fontId="75" fillId="26" borderId="64" xfId="0" applyFont="1" applyFill="1" applyBorder="1" applyAlignment="1">
      <alignment horizontal="left" vertical="center" wrapText="1"/>
    </xf>
    <xf numFmtId="3" fontId="75" fillId="26" borderId="64" xfId="0" applyNumberFormat="1" applyFont="1" applyFill="1" applyBorder="1" applyAlignment="1">
      <alignment horizontal="right" vertical="center"/>
    </xf>
    <xf numFmtId="0" fontId="75" fillId="25" borderId="64" xfId="0" applyFont="1" applyFill="1" applyBorder="1" applyAlignment="1">
      <alignment horizontal="left"/>
    </xf>
    <xf numFmtId="3" fontId="75" fillId="25" borderId="64" xfId="0" applyNumberFormat="1" applyFont="1" applyFill="1" applyBorder="1" applyAlignment="1">
      <alignment horizontal="right"/>
    </xf>
    <xf numFmtId="3" fontId="75" fillId="25" borderId="148" xfId="0" applyNumberFormat="1" applyFont="1" applyFill="1" applyBorder="1" applyAlignment="1">
      <alignment horizontal="right"/>
    </xf>
    <xf numFmtId="3" fontId="74" fillId="0" borderId="163" xfId="0" applyNumberFormat="1" applyFont="1" applyBorder="1" applyAlignment="1">
      <alignment/>
    </xf>
    <xf numFmtId="0" fontId="75" fillId="26" borderId="62" xfId="0" applyFont="1" applyFill="1" applyBorder="1" applyAlignment="1">
      <alignment horizontal="center"/>
    </xf>
    <xf numFmtId="0" fontId="75" fillId="0" borderId="93" xfId="0" applyFont="1" applyFill="1" applyBorder="1" applyAlignment="1">
      <alignment horizontal="left"/>
    </xf>
    <xf numFmtId="3" fontId="75" fillId="26" borderId="64" xfId="0" applyNumberFormat="1" applyFont="1" applyFill="1" applyBorder="1" applyAlignment="1">
      <alignment horizontal="right" wrapText="1"/>
    </xf>
    <xf numFmtId="3" fontId="75" fillId="0" borderId="64" xfId="0" applyNumberFormat="1" applyFont="1" applyFill="1" applyBorder="1" applyAlignment="1">
      <alignment horizontal="right" wrapText="1"/>
    </xf>
    <xf numFmtId="0" fontId="75" fillId="26" borderId="64" xfId="0" applyFont="1" applyFill="1" applyBorder="1" applyAlignment="1">
      <alignment/>
    </xf>
    <xf numFmtId="0" fontId="75" fillId="26" borderId="148" xfId="0" applyFont="1" applyFill="1" applyBorder="1" applyAlignment="1">
      <alignment/>
    </xf>
    <xf numFmtId="3" fontId="75" fillId="0" borderId="64" xfId="0" applyNumberFormat="1" applyFont="1" applyFill="1" applyBorder="1" applyAlignment="1">
      <alignment horizontal="right" vertical="center"/>
    </xf>
    <xf numFmtId="3" fontId="75" fillId="0" borderId="64" xfId="0" applyNumberFormat="1" applyFont="1" applyFill="1" applyBorder="1" applyAlignment="1">
      <alignment/>
    </xf>
    <xf numFmtId="0" fontId="75" fillId="26" borderId="64" xfId="0" applyFont="1" applyFill="1" applyBorder="1" applyAlignment="1">
      <alignment vertical="top"/>
    </xf>
    <xf numFmtId="0" fontId="75" fillId="26" borderId="148" xfId="0" applyFont="1" applyFill="1" applyBorder="1" applyAlignment="1">
      <alignment vertical="top"/>
    </xf>
    <xf numFmtId="0" fontId="73" fillId="26" borderId="164" xfId="0" applyFont="1" applyFill="1" applyBorder="1" applyAlignment="1">
      <alignment horizontal="center" vertical="center"/>
    </xf>
    <xf numFmtId="0" fontId="75" fillId="26" borderId="64" xfId="0" applyFont="1" applyFill="1" applyBorder="1" applyAlignment="1">
      <alignment horizontal="left"/>
    </xf>
    <xf numFmtId="3" fontId="75" fillId="26" borderId="64" xfId="0" applyNumberFormat="1" applyFont="1" applyFill="1" applyBorder="1" applyAlignment="1">
      <alignment horizontal="right"/>
    </xf>
    <xf numFmtId="3" fontId="75" fillId="0" borderId="64" xfId="0" applyNumberFormat="1" applyFont="1" applyFill="1" applyBorder="1" applyAlignment="1">
      <alignment horizontal="right"/>
    </xf>
    <xf numFmtId="3" fontId="73" fillId="0" borderId="64" xfId="0" applyNumberFormat="1" applyFont="1" applyFill="1" applyBorder="1" applyAlignment="1">
      <alignment horizontal="right" vertical="center"/>
    </xf>
    <xf numFmtId="4" fontId="75" fillId="26" borderId="148" xfId="0" applyNumberFormat="1" applyFont="1" applyFill="1" applyBorder="1" applyAlignment="1">
      <alignment vertical="center"/>
    </xf>
    <xf numFmtId="0" fontId="75" fillId="26" borderId="64" xfId="0" applyFont="1" applyFill="1" applyBorder="1" applyAlignment="1">
      <alignment vertical="center"/>
    </xf>
    <xf numFmtId="0" fontId="75" fillId="25" borderId="22" xfId="0" applyFont="1" applyFill="1" applyBorder="1" applyAlignment="1">
      <alignment vertical="center"/>
    </xf>
    <xf numFmtId="3" fontId="75" fillId="25" borderId="22" xfId="0" applyNumberFormat="1" applyFont="1" applyFill="1" applyBorder="1" applyAlignment="1">
      <alignment horizontal="right" vertical="center"/>
    </xf>
    <xf numFmtId="4" fontId="75" fillId="25" borderId="31" xfId="0" applyNumberFormat="1" applyFont="1" applyFill="1" applyBorder="1" applyAlignment="1">
      <alignment horizontal="right" vertical="center"/>
    </xf>
    <xf numFmtId="0" fontId="17" fillId="25" borderId="11" xfId="0" applyFont="1" applyFill="1" applyBorder="1" applyAlignment="1">
      <alignment horizontal="center"/>
    </xf>
    <xf numFmtId="0" fontId="17" fillId="25" borderId="14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2" fillId="25" borderId="44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25" borderId="137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25" borderId="54" xfId="0" applyFont="1" applyFill="1" applyBorder="1" applyAlignment="1">
      <alignment horizontal="center" vertical="center"/>
    </xf>
    <xf numFmtId="0" fontId="4" fillId="25" borderId="43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66" fillId="0" borderId="0" xfId="0" applyFont="1" applyAlignment="1">
      <alignment/>
    </xf>
    <xf numFmtId="0" fontId="22" fillId="0" borderId="0" xfId="0" applyFont="1" applyAlignment="1">
      <alignment/>
    </xf>
    <xf numFmtId="0" fontId="76" fillId="0" borderId="0" xfId="0" applyFont="1" applyAlignment="1">
      <alignment/>
    </xf>
    <xf numFmtId="0" fontId="30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0" xfId="0" applyNumberFormat="1" applyFont="1" applyAlignment="1">
      <alignment horizontal="right"/>
    </xf>
    <xf numFmtId="0" fontId="66" fillId="0" borderId="0" xfId="0" applyFont="1" applyAlignment="1">
      <alignment horizontal="right"/>
    </xf>
    <xf numFmtId="3" fontId="6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79" fillId="0" borderId="0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" fillId="0" borderId="120" xfId="0" applyNumberFormat="1" applyFont="1" applyFill="1" applyBorder="1" applyAlignment="1">
      <alignment vertical="center"/>
    </xf>
    <xf numFmtId="165" fontId="17" fillId="0" borderId="10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40" fillId="0" borderId="0" xfId="56" applyFont="1" applyFill="1" applyBorder="1" applyAlignment="1">
      <alignment vertical="center"/>
      <protection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60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58" xfId="0" applyFont="1" applyFill="1" applyBorder="1" applyAlignment="1">
      <alignment horizontal="center"/>
    </xf>
    <xf numFmtId="0" fontId="2" fillId="0" borderId="16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2" fillId="0" borderId="167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17" fillId="0" borderId="168" xfId="0" applyFont="1" applyFill="1" applyBorder="1" applyAlignment="1">
      <alignment horizontal="center" vertical="center"/>
    </xf>
    <xf numFmtId="0" fontId="17" fillId="0" borderId="169" xfId="0" applyFont="1" applyFill="1" applyBorder="1" applyAlignment="1">
      <alignment vertical="center"/>
    </xf>
    <xf numFmtId="3" fontId="17" fillId="0" borderId="118" xfId="0" applyNumberFormat="1" applyFont="1" applyFill="1" applyBorder="1" applyAlignment="1">
      <alignment/>
    </xf>
    <xf numFmtId="4" fontId="17" fillId="0" borderId="168" xfId="0" applyNumberFormat="1" applyFont="1" applyFill="1" applyBorder="1" applyAlignment="1">
      <alignment/>
    </xf>
    <xf numFmtId="49" fontId="2" fillId="0" borderId="120" xfId="0" applyNumberFormat="1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vertical="center"/>
    </xf>
    <xf numFmtId="4" fontId="2" fillId="0" borderId="120" xfId="0" applyNumberFormat="1" applyFont="1" applyFill="1" applyBorder="1" applyAlignment="1">
      <alignment vertical="center"/>
    </xf>
    <xf numFmtId="0" fontId="17" fillId="0" borderId="169" xfId="0" applyFont="1" applyFill="1" applyBorder="1" applyAlignment="1">
      <alignment vertical="center" wrapText="1"/>
    </xf>
    <xf numFmtId="4" fontId="17" fillId="0" borderId="168" xfId="0" applyNumberFormat="1" applyFont="1" applyFill="1" applyBorder="1" applyAlignment="1">
      <alignment vertical="center"/>
    </xf>
    <xf numFmtId="49" fontId="2" fillId="0" borderId="120" xfId="0" applyNumberFormat="1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vertical="center" wrapText="1"/>
    </xf>
    <xf numFmtId="0" fontId="17" fillId="0" borderId="168" xfId="0" applyFont="1" applyFill="1" applyBorder="1" applyAlignment="1">
      <alignment horizontal="center" vertical="center"/>
    </xf>
    <xf numFmtId="0" fontId="17" fillId="0" borderId="169" xfId="0" applyFont="1" applyFill="1" applyBorder="1" applyAlignment="1">
      <alignment vertical="center" wrapText="1"/>
    </xf>
    <xf numFmtId="0" fontId="17" fillId="0" borderId="169" xfId="0" applyFont="1" applyFill="1" applyBorder="1" applyAlignment="1">
      <alignment vertical="center"/>
    </xf>
    <xf numFmtId="0" fontId="2" fillId="0" borderId="165" xfId="0" applyFont="1" applyFill="1" applyBorder="1" applyAlignment="1">
      <alignment vertical="center"/>
    </xf>
    <xf numFmtId="0" fontId="17" fillId="0" borderId="170" xfId="0" applyFont="1" applyFill="1" applyBorder="1" applyAlignment="1">
      <alignment horizontal="center" vertical="center"/>
    </xf>
    <xf numFmtId="0" fontId="17" fillId="0" borderId="171" xfId="0" applyFont="1" applyFill="1" applyBorder="1" applyAlignment="1">
      <alignment vertical="center"/>
    </xf>
    <xf numFmtId="0" fontId="17" fillId="0" borderId="165" xfId="0" applyFont="1" applyFill="1" applyBorder="1" applyAlignment="1">
      <alignment vertical="center"/>
    </xf>
    <xf numFmtId="49" fontId="2" fillId="0" borderId="158" xfId="0" applyNumberFormat="1" applyFont="1" applyFill="1" applyBorder="1" applyAlignment="1">
      <alignment horizontal="center" vertical="center"/>
    </xf>
    <xf numFmtId="4" fontId="2" fillId="0" borderId="158" xfId="0" applyNumberFormat="1" applyFont="1" applyFill="1" applyBorder="1" applyAlignment="1">
      <alignment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vertical="center"/>
    </xf>
    <xf numFmtId="4" fontId="17" fillId="0" borderId="86" xfId="0" applyNumberFormat="1" applyFont="1" applyFill="1" applyBorder="1" applyAlignment="1">
      <alignment vertical="center"/>
    </xf>
    <xf numFmtId="0" fontId="17" fillId="0" borderId="9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60" xfId="0" applyFont="1" applyFill="1" applyBorder="1" applyAlignment="1" applyProtection="1">
      <alignment horizontal="center"/>
      <protection/>
    </xf>
    <xf numFmtId="0" fontId="2" fillId="0" borderId="158" xfId="0" applyFont="1" applyFill="1" applyBorder="1" applyAlignment="1" applyProtection="1">
      <alignment horizontal="center"/>
      <protection/>
    </xf>
    <xf numFmtId="0" fontId="2" fillId="0" borderId="172" xfId="0" applyFont="1" applyFill="1" applyBorder="1" applyAlignment="1" applyProtection="1">
      <alignment horizontal="center"/>
      <protection/>
    </xf>
    <xf numFmtId="49" fontId="2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173" xfId="0" applyFont="1" applyFill="1" applyBorder="1" applyAlignment="1" applyProtection="1">
      <alignment horizontal="center" vertical="center"/>
      <protection/>
    </xf>
    <xf numFmtId="49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left" vertical="center"/>
      <protection/>
    </xf>
    <xf numFmtId="49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0" fontId="3" fillId="0" borderId="151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vertical="center"/>
      <protection/>
    </xf>
    <xf numFmtId="0" fontId="3" fillId="0" borderId="151" xfId="0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92" xfId="0" applyFont="1" applyFill="1" applyBorder="1" applyAlignment="1" applyProtection="1">
      <alignment vertical="center"/>
      <protection/>
    </xf>
    <xf numFmtId="3" fontId="2" fillId="0" borderId="6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174" xfId="0" applyFont="1" applyFill="1" applyBorder="1" applyAlignment="1" applyProtection="1">
      <alignment horizontal="center" vertical="center"/>
      <protection/>
    </xf>
    <xf numFmtId="0" fontId="3" fillId="0" borderId="175" xfId="0" applyFont="1" applyFill="1" applyBorder="1" applyAlignment="1" applyProtection="1">
      <alignment vertical="center"/>
      <protection/>
    </xf>
    <xf numFmtId="0" fontId="3" fillId="0" borderId="96" xfId="0" applyFont="1" applyFill="1" applyBorder="1" applyAlignment="1" applyProtection="1">
      <alignment horizontal="center" vertical="center"/>
      <protection/>
    </xf>
    <xf numFmtId="4" fontId="2" fillId="0" borderId="176" xfId="0" applyNumberFormat="1" applyFont="1" applyFill="1" applyBorder="1" applyAlignment="1">
      <alignment vertical="center"/>
    </xf>
    <xf numFmtId="0" fontId="3" fillId="0" borderId="98" xfId="0" applyFont="1" applyFill="1" applyBorder="1" applyAlignment="1" applyProtection="1">
      <alignment horizontal="center" vertical="center"/>
      <protection/>
    </xf>
    <xf numFmtId="0" fontId="3" fillId="0" borderId="177" xfId="0" applyFont="1" applyFill="1" applyBorder="1" applyAlignment="1" applyProtection="1">
      <alignment vertical="center"/>
      <protection/>
    </xf>
    <xf numFmtId="0" fontId="17" fillId="0" borderId="151" xfId="0" applyFont="1" applyFill="1" applyBorder="1" applyAlignment="1" applyProtection="1">
      <alignment horizontal="center" vertical="center"/>
      <protection/>
    </xf>
    <xf numFmtId="3" fontId="17" fillId="0" borderId="83" xfId="0" applyNumberFormat="1" applyFont="1" applyFill="1" applyBorder="1" applyAlignment="1">
      <alignment vertical="center"/>
    </xf>
    <xf numFmtId="0" fontId="3" fillId="0" borderId="149" xfId="0" applyFont="1" applyFill="1" applyBorder="1" applyAlignment="1" applyProtection="1">
      <alignment vertical="center"/>
      <protection/>
    </xf>
    <xf numFmtId="4" fontId="3" fillId="0" borderId="41" xfId="0" applyNumberFormat="1" applyFont="1" applyFill="1" applyBorder="1" applyAlignment="1">
      <alignment/>
    </xf>
    <xf numFmtId="3" fontId="3" fillId="0" borderId="129" xfId="0" applyNumberFormat="1" applyFont="1" applyFill="1" applyBorder="1" applyAlignment="1" applyProtection="1">
      <alignment vertical="center"/>
      <protection/>
    </xf>
    <xf numFmtId="0" fontId="3" fillId="0" borderId="153" xfId="0" applyFont="1" applyFill="1" applyBorder="1" applyAlignment="1" applyProtection="1">
      <alignment vertical="center"/>
      <protection/>
    </xf>
    <xf numFmtId="0" fontId="3" fillId="0" borderId="177" xfId="0" applyFont="1" applyFill="1" applyBorder="1" applyAlignment="1" applyProtection="1">
      <alignment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vertical="center"/>
    </xf>
    <xf numFmtId="3" fontId="3" fillId="0" borderId="102" xfId="0" applyNumberFormat="1" applyFont="1" applyFill="1" applyBorder="1" applyAlignment="1" applyProtection="1">
      <alignment vertical="center"/>
      <protection/>
    </xf>
    <xf numFmtId="3" fontId="2" fillId="0" borderId="75" xfId="0" applyNumberFormat="1" applyFont="1" applyFill="1" applyBorder="1" applyAlignment="1" applyProtection="1">
      <alignment vertical="center"/>
      <protection/>
    </xf>
    <xf numFmtId="4" fontId="3" fillId="0" borderId="7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3" fillId="0" borderId="176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17" fillId="25" borderId="16" xfId="0" applyNumberFormat="1" applyFont="1" applyFill="1" applyBorder="1" applyAlignment="1">
      <alignment horizontal="right"/>
    </xf>
    <xf numFmtId="0" fontId="17" fillId="26" borderId="15" xfId="0" applyFont="1" applyFill="1" applyBorder="1" applyAlignment="1">
      <alignment horizontal="center"/>
    </xf>
    <xf numFmtId="0" fontId="17" fillId="26" borderId="178" xfId="0" applyFont="1" applyFill="1" applyBorder="1" applyAlignment="1">
      <alignment horizontal="left"/>
    </xf>
    <xf numFmtId="0" fontId="81" fillId="0" borderId="0" xfId="0" applyFont="1" applyFill="1" applyAlignment="1">
      <alignment/>
    </xf>
    <xf numFmtId="0" fontId="2" fillId="0" borderId="34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27" xfId="0" applyNumberFormat="1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top"/>
    </xf>
    <xf numFmtId="3" fontId="16" fillId="25" borderId="22" xfId="0" applyNumberFormat="1" applyFont="1" applyFill="1" applyBorder="1" applyAlignment="1">
      <alignment horizontal="right"/>
    </xf>
    <xf numFmtId="3" fontId="16" fillId="25" borderId="31" xfId="0" applyNumberFormat="1" applyFont="1" applyFill="1" applyBorder="1" applyAlignment="1">
      <alignment horizontal="right"/>
    </xf>
    <xf numFmtId="4" fontId="4" fillId="25" borderId="31" xfId="0" applyNumberFormat="1" applyFont="1" applyFill="1" applyBorder="1" applyAlignment="1">
      <alignment horizontal="right" vertical="center"/>
    </xf>
    <xf numFmtId="3" fontId="17" fillId="25" borderId="44" xfId="0" applyNumberFormat="1" applyFont="1" applyFill="1" applyBorder="1" applyAlignment="1">
      <alignment horizontal="right"/>
    </xf>
    <xf numFmtId="4" fontId="17" fillId="25" borderId="60" xfId="0" applyNumberFormat="1" applyFont="1" applyFill="1" applyBorder="1" applyAlignment="1">
      <alignment horizontal="right"/>
    </xf>
    <xf numFmtId="3" fontId="17" fillId="25" borderId="22" xfId="0" applyNumberFormat="1" applyFont="1" applyFill="1" applyBorder="1" applyAlignment="1">
      <alignment horizontal="right"/>
    </xf>
    <xf numFmtId="4" fontId="17" fillId="25" borderId="31" xfId="0" applyNumberFormat="1" applyFont="1" applyFill="1" applyBorder="1" applyAlignment="1">
      <alignment horizontal="right"/>
    </xf>
    <xf numFmtId="0" fontId="4" fillId="26" borderId="64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17" fillId="25" borderId="14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 vertical="top"/>
    </xf>
    <xf numFmtId="0" fontId="4" fillId="26" borderId="160" xfId="0" applyFont="1" applyFill="1" applyBorder="1" applyAlignment="1">
      <alignment/>
    </xf>
    <xf numFmtId="0" fontId="4" fillId="26" borderId="160" xfId="0" applyFont="1" applyFill="1" applyBorder="1" applyAlignment="1">
      <alignment horizontal="center"/>
    </xf>
    <xf numFmtId="0" fontId="4" fillId="25" borderId="179" xfId="0" applyFont="1" applyFill="1" applyBorder="1" applyAlignment="1">
      <alignment horizontal="center"/>
    </xf>
    <xf numFmtId="0" fontId="17" fillId="25" borderId="180" xfId="0" applyFont="1" applyFill="1" applyBorder="1" applyAlignment="1">
      <alignment horizontal="center"/>
    </xf>
    <xf numFmtId="0" fontId="4" fillId="26" borderId="120" xfId="0" applyFont="1" applyFill="1" applyBorder="1" applyAlignment="1">
      <alignment horizontal="center"/>
    </xf>
    <xf numFmtId="0" fontId="4" fillId="26" borderId="120" xfId="0" applyFont="1" applyFill="1" applyBorder="1" applyAlignment="1">
      <alignment horizontal="center"/>
    </xf>
    <xf numFmtId="0" fontId="4" fillId="25" borderId="120" xfId="0" applyFont="1" applyFill="1" applyBorder="1" applyAlignment="1">
      <alignment horizontal="center"/>
    </xf>
    <xf numFmtId="0" fontId="17" fillId="25" borderId="112" xfId="0" applyFont="1" applyFill="1" applyBorder="1" applyAlignment="1">
      <alignment horizontal="center"/>
    </xf>
    <xf numFmtId="0" fontId="4" fillId="26" borderId="158" xfId="0" applyFont="1" applyFill="1" applyBorder="1" applyAlignment="1">
      <alignment/>
    </xf>
    <xf numFmtId="0" fontId="4" fillId="26" borderId="158" xfId="0" applyFont="1" applyFill="1" applyBorder="1" applyAlignment="1">
      <alignment horizontal="center"/>
    </xf>
    <xf numFmtId="0" fontId="4" fillId="25" borderId="114" xfId="0" applyFont="1" applyFill="1" applyBorder="1" applyAlignment="1">
      <alignment horizontal="center"/>
    </xf>
    <xf numFmtId="0" fontId="17" fillId="25" borderId="1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left" vertical="center"/>
    </xf>
    <xf numFmtId="3" fontId="75" fillId="26" borderId="6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2" fillId="26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/>
    </xf>
    <xf numFmtId="3" fontId="2" fillId="26" borderId="0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83" xfId="0" applyFont="1" applyFill="1" applyBorder="1" applyAlignment="1" applyProtection="1">
      <alignment horizontal="center" vertical="center"/>
      <protection/>
    </xf>
    <xf numFmtId="3" fontId="42" fillId="0" borderId="31" xfId="0" applyNumberFormat="1" applyFont="1" applyFill="1" applyBorder="1" applyAlignment="1">
      <alignment vertical="center"/>
    </xf>
    <xf numFmtId="3" fontId="6" fillId="25" borderId="54" xfId="0" applyNumberFormat="1" applyFont="1" applyFill="1" applyBorder="1" applyAlignment="1">
      <alignment vertical="center"/>
    </xf>
    <xf numFmtId="3" fontId="6" fillId="25" borderId="48" xfId="0" applyNumberFormat="1" applyFont="1" applyFill="1" applyBorder="1" applyAlignment="1">
      <alignment vertical="center"/>
    </xf>
    <xf numFmtId="3" fontId="6" fillId="25" borderId="25" xfId="0" applyNumberFormat="1" applyFont="1" applyFill="1" applyBorder="1" applyAlignment="1">
      <alignment vertical="center"/>
    </xf>
    <xf numFmtId="3" fontId="6" fillId="25" borderId="29" xfId="0" applyNumberFormat="1" applyFont="1" applyFill="1" applyBorder="1" applyAlignment="1">
      <alignment vertical="center"/>
    </xf>
    <xf numFmtId="0" fontId="20" fillId="0" borderId="16" xfId="0" applyFont="1" applyBorder="1" applyAlignment="1">
      <alignment horizontal="center"/>
    </xf>
    <xf numFmtId="3" fontId="74" fillId="25" borderId="87" xfId="0" applyNumberFormat="1" applyFont="1" applyFill="1" applyBorder="1" applyAlignment="1">
      <alignment vertical="center"/>
    </xf>
    <xf numFmtId="3" fontId="85" fillId="25" borderId="55" xfId="0" applyNumberFormat="1" applyFont="1" applyFill="1" applyBorder="1" applyAlignment="1">
      <alignment vertical="center"/>
    </xf>
    <xf numFmtId="3" fontId="85" fillId="25" borderId="57" xfId="0" applyNumberFormat="1" applyFont="1" applyFill="1" applyBorder="1" applyAlignment="1">
      <alignment vertical="center"/>
    </xf>
    <xf numFmtId="0" fontId="86" fillId="25" borderId="77" xfId="0" applyFont="1" applyFill="1" applyBorder="1" applyAlignment="1">
      <alignment vertical="center"/>
    </xf>
    <xf numFmtId="0" fontId="8" fillId="25" borderId="10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5" borderId="31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25" borderId="181" xfId="0" applyFont="1" applyFill="1" applyBorder="1" applyAlignment="1">
      <alignment horizontal="center"/>
    </xf>
    <xf numFmtId="0" fontId="6" fillId="25" borderId="41" xfId="0" applyFont="1" applyFill="1" applyBorder="1" applyAlignment="1">
      <alignment horizontal="center"/>
    </xf>
    <xf numFmtId="0" fontId="6" fillId="25" borderId="110" xfId="0" applyFont="1" applyFill="1" applyBorder="1" applyAlignment="1">
      <alignment horizontal="center"/>
    </xf>
    <xf numFmtId="3" fontId="6" fillId="25" borderId="60" xfId="0" applyNumberFormat="1" applyFont="1" applyFill="1" applyBorder="1" applyAlignment="1">
      <alignment vertical="center"/>
    </xf>
    <xf numFmtId="3" fontId="6" fillId="25" borderId="54" xfId="0" applyNumberFormat="1" applyFont="1" applyFill="1" applyBorder="1" applyAlignment="1">
      <alignment vertical="center"/>
    </xf>
    <xf numFmtId="3" fontId="8" fillId="25" borderId="181" xfId="0" applyNumberFormat="1" applyFont="1" applyFill="1" applyBorder="1" applyAlignment="1">
      <alignment vertical="center"/>
    </xf>
    <xf numFmtId="3" fontId="0" fillId="25" borderId="0" xfId="0" applyNumberFormat="1" applyFill="1" applyBorder="1" applyAlignment="1">
      <alignment/>
    </xf>
    <xf numFmtId="3" fontId="8" fillId="25" borderId="60" xfId="0" applyNumberFormat="1" applyFont="1" applyFill="1" applyBorder="1" applyAlignment="1">
      <alignment vertical="center"/>
    </xf>
    <xf numFmtId="3" fontId="8" fillId="25" borderId="54" xfId="0" applyNumberFormat="1" applyFont="1" applyFill="1" applyBorder="1" applyAlignment="1">
      <alignment vertical="center"/>
    </xf>
    <xf numFmtId="3" fontId="8" fillId="25" borderId="110" xfId="0" applyNumberFormat="1" applyFont="1" applyFill="1" applyBorder="1" applyAlignment="1">
      <alignment vertical="center"/>
    </xf>
    <xf numFmtId="3" fontId="8" fillId="25" borderId="0" xfId="0" applyNumberFormat="1" applyFont="1" applyFill="1" applyBorder="1" applyAlignment="1">
      <alignment/>
    </xf>
    <xf numFmtId="3" fontId="43" fillId="25" borderId="60" xfId="0" applyNumberFormat="1" applyFont="1" applyFill="1" applyBorder="1" applyAlignment="1">
      <alignment vertical="center"/>
    </xf>
    <xf numFmtId="3" fontId="6" fillId="25" borderId="31" xfId="0" applyNumberFormat="1" applyFont="1" applyFill="1" applyBorder="1" applyAlignment="1">
      <alignment vertical="center"/>
    </xf>
    <xf numFmtId="3" fontId="6" fillId="25" borderId="18" xfId="0" applyNumberFormat="1" applyFont="1" applyFill="1" applyBorder="1" applyAlignment="1">
      <alignment vertical="center"/>
    </xf>
    <xf numFmtId="3" fontId="8" fillId="25" borderId="14" xfId="0" applyNumberFormat="1" applyFont="1" applyFill="1" applyBorder="1" applyAlignment="1">
      <alignment vertical="center"/>
    </xf>
    <xf numFmtId="3" fontId="6" fillId="25" borderId="82" xfId="0" applyNumberFormat="1" applyFont="1" applyFill="1" applyBorder="1" applyAlignment="1">
      <alignment vertical="center"/>
    </xf>
    <xf numFmtId="3" fontId="6" fillId="25" borderId="81" xfId="0" applyNumberFormat="1" applyFont="1" applyFill="1" applyBorder="1" applyAlignment="1">
      <alignment vertical="center"/>
    </xf>
    <xf numFmtId="3" fontId="6" fillId="25" borderId="182" xfId="0" applyNumberFormat="1" applyFont="1" applyFill="1" applyBorder="1" applyAlignment="1">
      <alignment vertical="center"/>
    </xf>
    <xf numFmtId="3" fontId="8" fillId="25" borderId="182" xfId="0" applyNumberFormat="1" applyFont="1" applyFill="1" applyBorder="1" applyAlignment="1">
      <alignment vertical="center"/>
    </xf>
    <xf numFmtId="0" fontId="8" fillId="25" borderId="4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6" fillId="25" borderId="57" xfId="0" applyFont="1" applyFill="1" applyBorder="1" applyAlignment="1">
      <alignment horizontal="center"/>
    </xf>
    <xf numFmtId="3" fontId="6" fillId="25" borderId="13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/>
    </xf>
    <xf numFmtId="3" fontId="17" fillId="24" borderId="20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0" fontId="17" fillId="0" borderId="183" xfId="0" applyFont="1" applyFill="1" applyBorder="1" applyAlignment="1">
      <alignment horizontal="center" vertical="center"/>
    </xf>
    <xf numFmtId="0" fontId="17" fillId="0" borderId="184" xfId="0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85" xfId="0" applyNumberFormat="1" applyFont="1" applyFill="1" applyBorder="1" applyAlignment="1">
      <alignment vertical="center"/>
    </xf>
    <xf numFmtId="3" fontId="2" fillId="0" borderId="186" xfId="0" applyNumberFormat="1" applyFont="1" applyFill="1" applyBorder="1" applyAlignment="1">
      <alignment vertical="center"/>
    </xf>
    <xf numFmtId="0" fontId="17" fillId="0" borderId="172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17" fillId="0" borderId="1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17" fillId="0" borderId="1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7" fillId="0" borderId="110" xfId="0" applyFont="1" applyFill="1" applyBorder="1" applyAlignment="1">
      <alignment vertical="center" wrapText="1"/>
    </xf>
    <xf numFmtId="0" fontId="17" fillId="0" borderId="110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center"/>
    </xf>
    <xf numFmtId="0" fontId="4" fillId="0" borderId="1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3" fillId="0" borderId="50" xfId="0" applyNumberFormat="1" applyFont="1" applyFill="1" applyBorder="1" applyAlignment="1">
      <alignment vertical="center"/>
    </xf>
    <xf numFmtId="0" fontId="17" fillId="0" borderId="181" xfId="0" applyFont="1" applyFill="1" applyBorder="1" applyAlignment="1">
      <alignment vertical="center"/>
    </xf>
    <xf numFmtId="0" fontId="6" fillId="0" borderId="181" xfId="0" applyFont="1" applyFill="1" applyBorder="1" applyAlignment="1">
      <alignment vertical="center" wrapText="1"/>
    </xf>
    <xf numFmtId="0" fontId="17" fillId="0" borderId="187" xfId="0" applyFont="1" applyFill="1" applyBorder="1" applyAlignment="1">
      <alignment vertical="center"/>
    </xf>
    <xf numFmtId="0" fontId="17" fillId="0" borderId="18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89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17" fillId="0" borderId="61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3" fontId="17" fillId="0" borderId="32" xfId="0" applyNumberFormat="1" applyFont="1" applyFill="1" applyBorder="1" applyAlignment="1">
      <alignment vertical="center"/>
    </xf>
    <xf numFmtId="3" fontId="4" fillId="0" borderId="190" xfId="0" applyNumberFormat="1" applyFont="1" applyFill="1" applyBorder="1" applyAlignment="1">
      <alignment vertical="center"/>
    </xf>
    <xf numFmtId="3" fontId="4" fillId="0" borderId="191" xfId="0" applyNumberFormat="1" applyFont="1" applyFill="1" applyBorder="1" applyAlignment="1">
      <alignment vertical="center"/>
    </xf>
    <xf numFmtId="3" fontId="4" fillId="0" borderId="192" xfId="0" applyNumberFormat="1" applyFont="1" applyFill="1" applyBorder="1" applyAlignment="1">
      <alignment vertical="center"/>
    </xf>
    <xf numFmtId="3" fontId="3" fillId="0" borderId="186" xfId="0" applyNumberFormat="1" applyFont="1" applyFill="1" applyBorder="1" applyAlignment="1">
      <alignment vertical="center"/>
    </xf>
    <xf numFmtId="0" fontId="40" fillId="26" borderId="93" xfId="56" applyFont="1" applyFill="1" applyBorder="1" applyAlignment="1">
      <alignment vertical="center" wrapText="1"/>
      <protection/>
    </xf>
    <xf numFmtId="0" fontId="42" fillId="26" borderId="93" xfId="56" applyFont="1" applyFill="1" applyBorder="1" applyAlignment="1">
      <alignment vertical="center" wrapText="1"/>
      <protection/>
    </xf>
    <xf numFmtId="0" fontId="42" fillId="26" borderId="93" xfId="56" applyFont="1" applyFill="1" applyBorder="1" applyAlignment="1">
      <alignment vertical="center"/>
      <protection/>
    </xf>
    <xf numFmtId="0" fontId="2" fillId="26" borderId="160" xfId="56" applyFont="1" applyFill="1" applyBorder="1" applyAlignment="1">
      <alignment horizontal="center"/>
      <protection/>
    </xf>
    <xf numFmtId="0" fontId="3" fillId="0" borderId="160" xfId="56" applyFont="1" applyFill="1" applyBorder="1" applyAlignment="1">
      <alignment horizontal="center"/>
      <protection/>
    </xf>
    <xf numFmtId="0" fontId="2" fillId="26" borderId="193" xfId="56" applyFont="1" applyFill="1" applyBorder="1" applyAlignment="1">
      <alignment horizontal="center"/>
      <protection/>
    </xf>
    <xf numFmtId="0" fontId="2" fillId="26" borderId="120" xfId="56" applyFont="1" applyFill="1" applyBorder="1" applyAlignment="1">
      <alignment horizontal="center"/>
      <protection/>
    </xf>
    <xf numFmtId="0" fontId="3" fillId="0" borderId="120" xfId="56" applyFont="1" applyFill="1" applyBorder="1" applyAlignment="1">
      <alignment horizontal="center"/>
      <protection/>
    </xf>
    <xf numFmtId="0" fontId="2" fillId="26" borderId="194" xfId="56" applyFont="1" applyFill="1" applyBorder="1" applyAlignment="1">
      <alignment horizontal="center"/>
      <protection/>
    </xf>
    <xf numFmtId="0" fontId="2" fillId="26" borderId="158" xfId="56" applyFont="1" applyFill="1" applyBorder="1" applyAlignment="1">
      <alignment horizontal="center"/>
      <protection/>
    </xf>
    <xf numFmtId="0" fontId="2" fillId="0" borderId="158" xfId="56" applyFont="1" applyFill="1" applyBorder="1" applyAlignment="1">
      <alignment horizontal="center"/>
      <protection/>
    </xf>
    <xf numFmtId="0" fontId="2" fillId="26" borderId="195" xfId="56" applyFont="1" applyFill="1" applyBorder="1" applyAlignment="1">
      <alignment horizontal="center"/>
      <protection/>
    </xf>
    <xf numFmtId="0" fontId="2" fillId="26" borderId="196" xfId="56" applyFont="1" applyFill="1" applyBorder="1" applyAlignment="1">
      <alignment horizontal="center"/>
      <protection/>
    </xf>
    <xf numFmtId="0" fontId="2" fillId="0" borderId="197" xfId="56" applyFont="1" applyFill="1" applyBorder="1" applyAlignment="1">
      <alignment horizontal="center"/>
      <protection/>
    </xf>
    <xf numFmtId="0" fontId="2" fillId="26" borderId="198" xfId="56" applyFont="1" applyFill="1" applyBorder="1" applyAlignment="1">
      <alignment horizontal="center"/>
      <protection/>
    </xf>
    <xf numFmtId="0" fontId="2" fillId="0" borderId="199" xfId="56" applyFont="1" applyFill="1" applyBorder="1" applyAlignment="1">
      <alignment horizontal="center"/>
      <protection/>
    </xf>
    <xf numFmtId="0" fontId="2" fillId="0" borderId="72" xfId="56" applyFont="1" applyFill="1" applyBorder="1" applyAlignment="1">
      <alignment horizontal="center"/>
      <protection/>
    </xf>
    <xf numFmtId="0" fontId="2" fillId="0" borderId="72" xfId="56" applyFont="1" applyFill="1" applyBorder="1" applyAlignment="1">
      <alignment horizontal="center"/>
      <protection/>
    </xf>
    <xf numFmtId="0" fontId="15" fillId="26" borderId="62" xfId="56" applyFont="1" applyFill="1" applyBorder="1" applyAlignment="1">
      <alignment horizontal="center"/>
      <protection/>
    </xf>
    <xf numFmtId="0" fontId="15" fillId="26" borderId="93" xfId="56" applyFont="1" applyFill="1" applyBorder="1">
      <alignment/>
      <protection/>
    </xf>
    <xf numFmtId="3" fontId="40" fillId="0" borderId="64" xfId="56" applyNumberFormat="1" applyFont="1" applyFill="1" applyBorder="1">
      <alignment/>
      <protection/>
    </xf>
    <xf numFmtId="4" fontId="15" fillId="26" borderId="64" xfId="56" applyNumberFormat="1" applyFont="1" applyFill="1" applyBorder="1">
      <alignment/>
      <protection/>
    </xf>
    <xf numFmtId="3" fontId="40" fillId="26" borderId="200" xfId="56" applyNumberFormat="1" applyFont="1" applyFill="1" applyBorder="1" applyAlignment="1">
      <alignment horizontal="center"/>
      <protection/>
    </xf>
    <xf numFmtId="3" fontId="40" fillId="26" borderId="64" xfId="56" applyNumberFormat="1" applyFont="1" applyFill="1" applyBorder="1">
      <alignment/>
      <protection/>
    </xf>
    <xf numFmtId="3" fontId="15" fillId="26" borderId="64" xfId="56" applyNumberFormat="1" applyFont="1" applyFill="1" applyBorder="1">
      <alignment/>
      <protection/>
    </xf>
    <xf numFmtId="3" fontId="40" fillId="26" borderId="201" xfId="56" applyNumberFormat="1" applyFont="1" applyFill="1" applyBorder="1">
      <alignment/>
      <protection/>
    </xf>
    <xf numFmtId="0" fontId="40" fillId="26" borderId="62" xfId="56" applyFont="1" applyFill="1" applyBorder="1" applyAlignment="1">
      <alignment horizontal="center" vertical="center"/>
      <protection/>
    </xf>
    <xf numFmtId="3" fontId="15" fillId="26" borderId="93" xfId="56" applyNumberFormat="1" applyFont="1" applyFill="1" applyBorder="1" applyAlignment="1">
      <alignment vertical="center" wrapText="1"/>
      <protection/>
    </xf>
    <xf numFmtId="3" fontId="40" fillId="26" borderId="202" xfId="56" applyNumberFormat="1" applyFont="1" applyFill="1" applyBorder="1" applyAlignment="1">
      <alignment horizontal="center" vertical="center"/>
      <protection/>
    </xf>
    <xf numFmtId="0" fontId="40" fillId="26" borderId="64" xfId="56" applyFont="1" applyFill="1" applyBorder="1" applyAlignment="1">
      <alignment vertical="center"/>
      <protection/>
    </xf>
    <xf numFmtId="3" fontId="40" fillId="26" borderId="64" xfId="56" applyNumberFormat="1" applyFont="1" applyFill="1" applyBorder="1" applyAlignment="1" applyProtection="1">
      <alignment vertical="center"/>
      <protection hidden="1"/>
    </xf>
    <xf numFmtId="3" fontId="40" fillId="0" borderId="64" xfId="56" applyNumberFormat="1" applyFont="1" applyFill="1" applyBorder="1" applyAlignment="1" applyProtection="1">
      <alignment vertical="center"/>
      <protection hidden="1"/>
    </xf>
    <xf numFmtId="3" fontId="15" fillId="0" borderId="64" xfId="56" applyNumberFormat="1" applyFont="1" applyFill="1" applyBorder="1" applyAlignment="1" applyProtection="1">
      <alignment vertical="center"/>
      <protection hidden="1"/>
    </xf>
    <xf numFmtId="0" fontId="40" fillId="26" borderId="202" xfId="56" applyFont="1" applyFill="1" applyBorder="1" applyAlignment="1">
      <alignment horizontal="center" vertical="center"/>
      <protection/>
    </xf>
    <xf numFmtId="0" fontId="40" fillId="26" borderId="64" xfId="56" applyFont="1" applyFill="1" applyBorder="1" applyAlignment="1">
      <alignment vertical="center" wrapText="1"/>
      <protection/>
    </xf>
    <xf numFmtId="0" fontId="40" fillId="26" borderId="64" xfId="56" applyFont="1" applyFill="1" applyBorder="1" applyAlignment="1">
      <alignment vertical="center" wrapText="1"/>
      <protection/>
    </xf>
    <xf numFmtId="0" fontId="40" fillId="26" borderId="62" xfId="56" applyFont="1" applyFill="1" applyBorder="1" applyAlignment="1">
      <alignment horizontal="center" vertical="center"/>
      <protection/>
    </xf>
    <xf numFmtId="0" fontId="40" fillId="26" borderId="93" xfId="56" applyFont="1" applyFill="1" applyBorder="1" applyAlignment="1">
      <alignment vertical="center"/>
      <protection/>
    </xf>
    <xf numFmtId="3" fontId="42" fillId="0" borderId="64" xfId="56" applyNumberFormat="1" applyFont="1" applyFill="1" applyBorder="1" applyAlignment="1" applyProtection="1">
      <alignment vertical="center"/>
      <protection hidden="1"/>
    </xf>
    <xf numFmtId="3" fontId="40" fillId="0" borderId="64" xfId="56" applyNumberFormat="1" applyFont="1" applyFill="1" applyBorder="1" applyAlignment="1" applyProtection="1">
      <alignment vertical="center"/>
      <protection hidden="1"/>
    </xf>
    <xf numFmtId="3" fontId="40" fillId="0" borderId="202" xfId="56" applyNumberFormat="1" applyFont="1" applyFill="1" applyBorder="1" applyAlignment="1">
      <alignment horizontal="center" vertical="center"/>
      <protection/>
    </xf>
    <xf numFmtId="0" fontId="40" fillId="0" borderId="64" xfId="56" applyFont="1" applyFill="1" applyBorder="1" applyAlignment="1">
      <alignment vertical="center"/>
      <protection/>
    </xf>
    <xf numFmtId="3" fontId="40" fillId="29" borderId="203" xfId="56" applyNumberFormat="1" applyFont="1" applyFill="1" applyBorder="1">
      <alignment/>
      <protection/>
    </xf>
    <xf numFmtId="3" fontId="40" fillId="0" borderId="64" xfId="56" applyNumberFormat="1" applyFont="1" applyFill="1" applyBorder="1" applyAlignment="1" applyProtection="1">
      <alignment vertical="center"/>
      <protection locked="0"/>
    </xf>
    <xf numFmtId="3" fontId="15" fillId="0" borderId="64" xfId="56" applyNumberFormat="1" applyFont="1" applyFill="1" applyBorder="1" applyAlignment="1" applyProtection="1">
      <alignment vertical="center"/>
      <protection locked="0"/>
    </xf>
    <xf numFmtId="0" fontId="40" fillId="0" borderId="204" xfId="56" applyFont="1" applyFill="1" applyBorder="1" applyAlignment="1">
      <alignment/>
      <protection/>
    </xf>
    <xf numFmtId="0" fontId="15" fillId="29" borderId="205" xfId="56" applyFont="1" applyFill="1" applyBorder="1">
      <alignment/>
      <protection/>
    </xf>
    <xf numFmtId="3" fontId="40" fillId="33" borderId="145" xfId="56" applyNumberFormat="1" applyFont="1" applyFill="1" applyBorder="1">
      <alignment/>
      <protection/>
    </xf>
    <xf numFmtId="3" fontId="15" fillId="29" borderId="145" xfId="56" applyNumberFormat="1" applyFont="1" applyFill="1" applyBorder="1">
      <alignment/>
      <protection/>
    </xf>
    <xf numFmtId="3" fontId="15" fillId="29" borderId="156" xfId="56" applyNumberFormat="1" applyFont="1" applyFill="1" applyBorder="1">
      <alignment/>
      <protection/>
    </xf>
    <xf numFmtId="0" fontId="15" fillId="29" borderId="206" xfId="56" applyFont="1" applyFill="1" applyBorder="1">
      <alignment/>
      <protection/>
    </xf>
    <xf numFmtId="3" fontId="15" fillId="33" borderId="145" xfId="56" applyNumberFormat="1" applyFont="1" applyFill="1" applyBorder="1">
      <alignment/>
      <protection/>
    </xf>
    <xf numFmtId="0" fontId="15" fillId="29" borderId="207" xfId="56" applyFont="1" applyFill="1" applyBorder="1">
      <alignment/>
      <protection/>
    </xf>
    <xf numFmtId="0" fontId="15" fillId="29" borderId="208" xfId="56" applyFont="1" applyFill="1" applyBorder="1">
      <alignment/>
      <protection/>
    </xf>
    <xf numFmtId="3" fontId="15" fillId="0" borderId="145" xfId="56" applyNumberFormat="1" applyFont="1" applyFill="1" applyBorder="1" applyAlignment="1" applyProtection="1">
      <alignment vertical="center"/>
      <protection hidden="1"/>
    </xf>
    <xf numFmtId="3" fontId="40" fillId="26" borderId="64" xfId="56" applyNumberFormat="1" applyFont="1" applyFill="1" applyBorder="1" applyAlignment="1" applyProtection="1">
      <alignment vertical="center"/>
      <protection locked="0"/>
    </xf>
    <xf numFmtId="3" fontId="15" fillId="0" borderId="64" xfId="56" applyNumberFormat="1" applyFont="1" applyFill="1" applyBorder="1" applyAlignment="1" applyProtection="1">
      <alignment vertical="center"/>
      <protection locked="0"/>
    </xf>
    <xf numFmtId="0" fontId="40" fillId="0" borderId="10" xfId="56" applyFont="1" applyBorder="1" applyAlignment="1">
      <alignment vertical="center"/>
      <protection/>
    </xf>
    <xf numFmtId="3" fontId="40" fillId="0" borderId="64" xfId="56" applyNumberFormat="1" applyFont="1" applyFill="1" applyBorder="1" applyAlignment="1">
      <alignment vertical="center"/>
      <protection/>
    </xf>
    <xf numFmtId="3" fontId="15" fillId="0" borderId="64" xfId="56" applyNumberFormat="1" applyFont="1" applyFill="1" applyBorder="1" applyAlignment="1">
      <alignment vertical="center"/>
      <protection/>
    </xf>
    <xf numFmtId="3" fontId="15" fillId="0" borderId="67" xfId="56" applyNumberFormat="1" applyFont="1" applyFill="1" applyBorder="1" applyAlignment="1" applyProtection="1">
      <alignment vertical="center"/>
      <protection hidden="1"/>
    </xf>
    <xf numFmtId="3" fontId="40" fillId="0" borderId="64" xfId="56" applyNumberFormat="1" applyFont="1" applyFill="1" applyBorder="1" applyAlignment="1" applyProtection="1">
      <alignment vertical="center"/>
      <protection locked="0"/>
    </xf>
    <xf numFmtId="0" fontId="40" fillId="0" borderId="64" xfId="56" applyFont="1" applyFill="1" applyBorder="1" applyAlignment="1">
      <alignment vertical="center" wrapText="1"/>
      <protection/>
    </xf>
    <xf numFmtId="3" fontId="40" fillId="29" borderId="203" xfId="56" applyNumberFormat="1" applyFont="1" applyFill="1" applyBorder="1" applyAlignment="1">
      <alignment vertical="center"/>
      <protection/>
    </xf>
    <xf numFmtId="0" fontId="15" fillId="29" borderId="205" xfId="56" applyFont="1" applyFill="1" applyBorder="1" applyAlignment="1">
      <alignment vertical="center"/>
      <protection/>
    </xf>
    <xf numFmtId="3" fontId="40" fillId="33" borderId="145" xfId="56" applyNumberFormat="1" applyFont="1" applyFill="1" applyBorder="1" applyAlignment="1">
      <alignment vertical="center"/>
      <protection/>
    </xf>
    <xf numFmtId="3" fontId="40" fillId="33" borderId="146" xfId="56" applyNumberFormat="1" applyFont="1" applyFill="1" applyBorder="1" applyAlignment="1">
      <alignment vertical="center"/>
      <protection/>
    </xf>
    <xf numFmtId="3" fontId="15" fillId="29" borderId="145" xfId="56" applyNumberFormat="1" applyFont="1" applyFill="1" applyBorder="1" applyAlignment="1">
      <alignment vertical="center"/>
      <protection/>
    </xf>
    <xf numFmtId="3" fontId="15" fillId="29" borderId="156" xfId="56" applyNumberFormat="1" applyFont="1" applyFill="1" applyBorder="1" applyAlignment="1">
      <alignment vertical="center"/>
      <protection/>
    </xf>
    <xf numFmtId="3" fontId="15" fillId="33" borderId="145" xfId="56" applyNumberFormat="1" applyFont="1" applyFill="1" applyBorder="1" applyAlignment="1">
      <alignment vertical="center"/>
      <protection/>
    </xf>
    <xf numFmtId="0" fontId="15" fillId="29" borderId="207" xfId="56" applyFont="1" applyFill="1" applyBorder="1" applyAlignment="1">
      <alignment vertical="center"/>
      <protection/>
    </xf>
    <xf numFmtId="3" fontId="15" fillId="0" borderId="64" xfId="56" applyNumberFormat="1" applyFont="1" applyFill="1" applyBorder="1" applyAlignment="1">
      <alignment vertical="center"/>
      <protection/>
    </xf>
    <xf numFmtId="3" fontId="15" fillId="0" borderId="209" xfId="56" applyNumberFormat="1" applyFont="1" applyFill="1" applyBorder="1" applyAlignment="1">
      <alignment vertical="center"/>
      <protection/>
    </xf>
    <xf numFmtId="0" fontId="15" fillId="0" borderId="62" xfId="56" applyFont="1" applyFill="1" applyBorder="1" applyAlignment="1">
      <alignment horizontal="center" vertical="center"/>
      <protection/>
    </xf>
    <xf numFmtId="0" fontId="15" fillId="0" borderId="93" xfId="56" applyFont="1" applyFill="1" applyBorder="1" applyAlignment="1">
      <alignment vertical="center"/>
      <protection/>
    </xf>
    <xf numFmtId="3" fontId="15" fillId="0" borderId="67" xfId="56" applyNumberFormat="1" applyFont="1" applyFill="1" applyBorder="1" applyAlignment="1">
      <alignment vertical="center"/>
      <protection/>
    </xf>
    <xf numFmtId="3" fontId="40" fillId="29" borderId="210" xfId="56" applyNumberFormat="1" applyFont="1" applyFill="1" applyBorder="1" applyAlignment="1">
      <alignment vertical="center"/>
      <protection/>
    </xf>
    <xf numFmtId="3" fontId="15" fillId="0" borderId="202" xfId="56" applyNumberFormat="1" applyFont="1" applyFill="1" applyBorder="1" applyAlignment="1">
      <alignment horizontal="center" vertical="center"/>
      <protection/>
    </xf>
    <xf numFmtId="0" fontId="15" fillId="29" borderId="211" xfId="56" applyFont="1" applyFill="1" applyBorder="1" applyAlignment="1">
      <alignment vertical="center"/>
      <protection/>
    </xf>
    <xf numFmtId="3" fontId="40" fillId="33" borderId="212" xfId="56" applyNumberFormat="1" applyFont="1" applyFill="1" applyBorder="1" applyAlignment="1">
      <alignment vertical="center"/>
      <protection/>
    </xf>
    <xf numFmtId="3" fontId="40" fillId="33" borderId="213" xfId="56" applyNumberFormat="1" applyFont="1" applyFill="1" applyBorder="1" applyAlignment="1">
      <alignment vertical="center"/>
      <protection/>
    </xf>
    <xf numFmtId="3" fontId="15" fillId="29" borderId="212" xfId="56" applyNumberFormat="1" applyFont="1" applyFill="1" applyBorder="1" applyAlignment="1">
      <alignment vertical="center"/>
      <protection/>
    </xf>
    <xf numFmtId="3" fontId="15" fillId="29" borderId="214" xfId="56" applyNumberFormat="1" applyFont="1" applyFill="1" applyBorder="1" applyAlignment="1">
      <alignment vertical="center"/>
      <protection/>
    </xf>
    <xf numFmtId="0" fontId="15" fillId="29" borderId="212" xfId="56" applyFont="1" applyFill="1" applyBorder="1" applyAlignment="1">
      <alignment vertical="center"/>
      <protection/>
    </xf>
    <xf numFmtId="3" fontId="15" fillId="33" borderId="212" xfId="56" applyNumberFormat="1" applyFont="1" applyFill="1" applyBorder="1" applyAlignment="1">
      <alignment vertical="center"/>
      <protection/>
    </xf>
    <xf numFmtId="0" fontId="15" fillId="29" borderId="215" xfId="56" applyFont="1" applyFill="1" applyBorder="1" applyAlignment="1">
      <alignment vertical="center"/>
      <protection/>
    </xf>
    <xf numFmtId="3" fontId="15" fillId="29" borderId="216" xfId="56" applyNumberFormat="1" applyFont="1" applyFill="1" applyBorder="1" applyAlignment="1">
      <alignment vertical="center"/>
      <protection/>
    </xf>
    <xf numFmtId="0" fontId="15" fillId="29" borderId="214" xfId="56" applyFont="1" applyFill="1" applyBorder="1" applyAlignment="1">
      <alignment vertical="center"/>
      <protection/>
    </xf>
    <xf numFmtId="0" fontId="40" fillId="0" borderId="217" xfId="56" applyFont="1" applyFill="1" applyBorder="1" applyAlignment="1">
      <alignment horizontal="center" vertical="center"/>
      <protection/>
    </xf>
    <xf numFmtId="0" fontId="40" fillId="0" borderId="212" xfId="56" applyFont="1" applyFill="1" applyBorder="1" applyAlignment="1">
      <alignment vertical="center" wrapText="1"/>
      <protection/>
    </xf>
    <xf numFmtId="0" fontId="40" fillId="0" borderId="10" xfId="56" applyFont="1" applyFill="1" applyBorder="1">
      <alignment/>
      <protection/>
    </xf>
    <xf numFmtId="0" fontId="40" fillId="0" borderId="218" xfId="56" applyFont="1" applyFill="1" applyBorder="1" applyAlignment="1">
      <alignment horizontal="center" vertical="center"/>
      <protection/>
    </xf>
    <xf numFmtId="0" fontId="40" fillId="0" borderId="214" xfId="56" applyFont="1" applyFill="1" applyBorder="1" applyAlignment="1">
      <alignment vertical="center" wrapText="1"/>
      <protection/>
    </xf>
    <xf numFmtId="0" fontId="40" fillId="0" borderId="35" xfId="56" applyFont="1" applyFill="1" applyBorder="1">
      <alignment/>
      <protection/>
    </xf>
    <xf numFmtId="0" fontId="15" fillId="29" borderId="219" xfId="56" applyFont="1" applyFill="1" applyBorder="1" applyAlignment="1">
      <alignment horizontal="center" vertical="center"/>
      <protection/>
    </xf>
    <xf numFmtId="0" fontId="15" fillId="29" borderId="220" xfId="56" applyFont="1" applyFill="1" applyBorder="1" applyAlignment="1">
      <alignment horizontal="left" vertical="center"/>
      <protection/>
    </xf>
    <xf numFmtId="3" fontId="40" fillId="33" borderId="221" xfId="56" applyNumberFormat="1" applyFont="1" applyFill="1" applyBorder="1" applyAlignment="1" applyProtection="1">
      <alignment vertical="center"/>
      <protection hidden="1"/>
    </xf>
    <xf numFmtId="3" fontId="40" fillId="33" borderId="222" xfId="56" applyNumberFormat="1" applyFont="1" applyFill="1" applyBorder="1" applyAlignment="1" applyProtection="1">
      <alignment vertical="center"/>
      <protection hidden="1"/>
    </xf>
    <xf numFmtId="0" fontId="15" fillId="29" borderId="223" xfId="56" applyFont="1" applyFill="1" applyBorder="1" applyAlignment="1">
      <alignment horizontal="center" vertical="center"/>
      <protection/>
    </xf>
    <xf numFmtId="0" fontId="15" fillId="29" borderId="221" xfId="56" applyFont="1" applyFill="1" applyBorder="1" applyAlignment="1">
      <alignment horizontal="left" vertical="center"/>
      <protection/>
    </xf>
    <xf numFmtId="3" fontId="15" fillId="29" borderId="221" xfId="56" applyNumberFormat="1" applyFont="1" applyFill="1" applyBorder="1" applyAlignment="1">
      <alignment vertical="center"/>
      <protection/>
    </xf>
    <xf numFmtId="0" fontId="40" fillId="0" borderId="62" xfId="56" applyFont="1" applyFill="1" applyBorder="1" applyAlignment="1">
      <alignment horizontal="center" vertical="center"/>
      <protection/>
    </xf>
    <xf numFmtId="0" fontId="40" fillId="0" borderId="93" xfId="56" applyFont="1" applyFill="1" applyBorder="1" applyAlignment="1">
      <alignment horizontal="left" vertical="center"/>
      <protection/>
    </xf>
    <xf numFmtId="0" fontId="40" fillId="0" borderId="212" xfId="56" applyFont="1" applyFill="1" applyBorder="1" applyAlignment="1">
      <alignment horizontal="left" vertical="center"/>
      <protection/>
    </xf>
    <xf numFmtId="3" fontId="15" fillId="0" borderId="212" xfId="56" applyNumberFormat="1" applyFont="1" applyFill="1" applyBorder="1" applyAlignment="1">
      <alignment vertical="center"/>
      <protection/>
    </xf>
    <xf numFmtId="3" fontId="15" fillId="0" borderId="10" xfId="56" applyNumberFormat="1" applyFont="1" applyFill="1" applyBorder="1" applyAlignment="1">
      <alignment horizontal="center" vertical="center"/>
      <protection/>
    </xf>
    <xf numFmtId="0" fontId="40" fillId="0" borderId="155" xfId="56" applyFont="1" applyFill="1" applyBorder="1" applyAlignment="1">
      <alignment horizontal="center" vertical="center"/>
      <protection/>
    </xf>
    <xf numFmtId="0" fontId="40" fillId="0" borderId="207" xfId="56" applyFont="1" applyFill="1" applyBorder="1" applyAlignment="1">
      <alignment vertical="center"/>
      <protection/>
    </xf>
    <xf numFmtId="3" fontId="15" fillId="0" borderId="156" xfId="56" applyNumberFormat="1" applyFont="1" applyFill="1" applyBorder="1" applyAlignment="1" applyProtection="1">
      <alignment vertical="center"/>
      <protection hidden="1"/>
    </xf>
    <xf numFmtId="0" fontId="40" fillId="0" borderId="224" xfId="56" applyFont="1" applyFill="1" applyBorder="1" applyAlignment="1">
      <alignment horizontal="center" vertical="center"/>
      <protection/>
    </xf>
    <xf numFmtId="0" fontId="40" fillId="0" borderId="214" xfId="56" applyFont="1" applyFill="1" applyBorder="1" applyAlignment="1">
      <alignment vertical="center"/>
      <protection/>
    </xf>
    <xf numFmtId="3" fontId="15" fillId="0" borderId="214" xfId="56" applyNumberFormat="1" applyFont="1" applyFill="1" applyBorder="1" applyAlignment="1">
      <alignment vertical="center"/>
      <protection/>
    </xf>
    <xf numFmtId="3" fontId="40" fillId="26" borderId="35" xfId="56" applyNumberFormat="1" applyFont="1" applyFill="1" applyBorder="1" applyAlignment="1">
      <alignment vertical="center"/>
      <protection/>
    </xf>
    <xf numFmtId="3" fontId="15" fillId="29" borderId="222" xfId="56" applyNumberFormat="1" applyFont="1" applyFill="1" applyBorder="1" applyAlignment="1" applyProtection="1">
      <alignment vertical="center"/>
      <protection hidden="1"/>
    </xf>
    <xf numFmtId="3" fontId="15" fillId="29" borderId="221" xfId="56" applyNumberFormat="1" applyFont="1" applyFill="1" applyBorder="1" applyAlignment="1" applyProtection="1">
      <alignment vertical="center"/>
      <protection hidden="1"/>
    </xf>
    <xf numFmtId="0" fontId="15" fillId="0" borderId="93" xfId="56" applyFont="1" applyFill="1" applyBorder="1" applyAlignment="1">
      <alignment horizontal="left" vertical="center"/>
      <protection/>
    </xf>
    <xf numFmtId="3" fontId="40" fillId="0" borderId="67" xfId="56" applyNumberFormat="1" applyFont="1" applyFill="1" applyBorder="1" applyAlignment="1" applyProtection="1">
      <alignment vertical="center"/>
      <protection hidden="1"/>
    </xf>
    <xf numFmtId="0" fontId="15" fillId="0" borderId="202" xfId="56" applyFont="1" applyFill="1" applyBorder="1" applyAlignment="1">
      <alignment horizontal="center" vertical="center"/>
      <protection/>
    </xf>
    <xf numFmtId="0" fontId="15" fillId="0" borderId="64" xfId="56" applyFont="1" applyFill="1" applyBorder="1" applyAlignment="1">
      <alignment horizontal="left" vertical="center"/>
      <protection/>
    </xf>
    <xf numFmtId="0" fontId="40" fillId="0" borderId="10" xfId="56" applyFont="1" applyFill="1" applyBorder="1" applyAlignment="1">
      <alignment vertical="center"/>
      <protection/>
    </xf>
    <xf numFmtId="0" fontId="15" fillId="26" borderId="69" xfId="0" applyFont="1" applyFill="1" applyBorder="1" applyAlignment="1">
      <alignment horizontal="center" vertical="center"/>
    </xf>
    <xf numFmtId="0" fontId="15" fillId="26" borderId="104" xfId="0" applyFont="1" applyFill="1" applyBorder="1" applyAlignment="1">
      <alignment vertical="center"/>
    </xf>
    <xf numFmtId="3" fontId="40" fillId="0" borderId="85" xfId="56" applyNumberFormat="1" applyFont="1" applyFill="1" applyBorder="1" applyAlignment="1" applyProtection="1">
      <alignment vertical="center"/>
      <protection hidden="1"/>
    </xf>
    <xf numFmtId="3" fontId="40" fillId="0" borderId="102" xfId="56" applyNumberFormat="1" applyFont="1" applyFill="1" applyBorder="1" applyAlignment="1" applyProtection="1">
      <alignment vertical="center"/>
      <protection hidden="1"/>
    </xf>
    <xf numFmtId="0" fontId="15" fillId="26" borderId="225" xfId="0" applyFont="1" applyFill="1" applyBorder="1" applyAlignment="1">
      <alignment horizontal="center" vertical="center"/>
    </xf>
    <xf numFmtId="0" fontId="15" fillId="26" borderId="85" xfId="0" applyFont="1" applyFill="1" applyBorder="1" applyAlignment="1">
      <alignment vertical="center"/>
    </xf>
    <xf numFmtId="3" fontId="15" fillId="0" borderId="85" xfId="56" applyNumberFormat="1" applyFont="1" applyFill="1" applyBorder="1" applyAlignment="1">
      <alignment vertical="center"/>
      <protection/>
    </xf>
    <xf numFmtId="0" fontId="40" fillId="0" borderId="35" xfId="56" applyFont="1" applyFill="1" applyBorder="1" applyAlignment="1">
      <alignment vertical="center"/>
      <protection/>
    </xf>
    <xf numFmtId="0" fontId="2" fillId="0" borderId="0" xfId="56" applyFont="1" applyFill="1" applyBorder="1">
      <alignment/>
      <protection/>
    </xf>
    <xf numFmtId="3" fontId="40" fillId="26" borderId="0" xfId="56" applyNumberFormat="1" applyFont="1" applyFill="1" applyBorder="1" applyAlignment="1">
      <alignment horizontal="center" vertical="center"/>
      <protection/>
    </xf>
    <xf numFmtId="3" fontId="15" fillId="0" borderId="35" xfId="56" applyNumberFormat="1" applyFont="1" applyFill="1" applyBorder="1" applyAlignment="1">
      <alignment horizontal="center" vertical="center"/>
      <protection/>
    </xf>
    <xf numFmtId="3" fontId="15" fillId="0" borderId="10" xfId="56" applyNumberFormat="1" applyFont="1" applyFill="1" applyBorder="1" applyAlignment="1">
      <alignment horizontal="center" vertical="center"/>
      <protection/>
    </xf>
    <xf numFmtId="3" fontId="40" fillId="0" borderId="10" xfId="56" applyNumberFormat="1" applyFont="1" applyFill="1" applyBorder="1" applyAlignment="1">
      <alignment vertical="center"/>
      <protection/>
    </xf>
    <xf numFmtId="3" fontId="15" fillId="0" borderId="35" xfId="56" applyNumberFormat="1" applyFont="1" applyFill="1" applyBorder="1" applyAlignment="1">
      <alignment horizontal="center" vertical="center"/>
      <protection/>
    </xf>
    <xf numFmtId="0" fontId="3" fillId="26" borderId="158" xfId="56" applyFont="1" applyFill="1" applyBorder="1" applyAlignment="1">
      <alignment horizontal="center"/>
      <protection/>
    </xf>
    <xf numFmtId="0" fontId="2" fillId="28" borderId="11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172" xfId="0" applyFont="1" applyFill="1" applyBorder="1" applyAlignment="1">
      <alignment horizontal="center"/>
    </xf>
    <xf numFmtId="0" fontId="2" fillId="0" borderId="226" xfId="56" applyFont="1" applyFill="1" applyBorder="1" applyAlignment="1">
      <alignment horizontal="center"/>
      <protection/>
    </xf>
    <xf numFmtId="3" fontId="15" fillId="29" borderId="158" xfId="56" applyNumberFormat="1" applyFont="1" applyFill="1" applyBorder="1" applyAlignment="1">
      <alignment horizontal="center" vertical="center"/>
      <protection/>
    </xf>
    <xf numFmtId="3" fontId="15" fillId="29" borderId="172" xfId="56" applyNumberFormat="1" applyFont="1" applyFill="1" applyBorder="1" applyAlignment="1">
      <alignment horizontal="center"/>
      <protection/>
    </xf>
    <xf numFmtId="3" fontId="40" fillId="29" borderId="90" xfId="56" applyNumberFormat="1" applyFont="1" applyFill="1" applyBorder="1" applyAlignment="1">
      <alignment horizontal="center"/>
      <protection/>
    </xf>
    <xf numFmtId="3" fontId="15" fillId="29" borderId="166" xfId="56" applyNumberFormat="1" applyFont="1" applyFill="1" applyBorder="1" applyAlignment="1">
      <alignment horizontal="center" vertical="center"/>
      <protection/>
    </xf>
    <xf numFmtId="3" fontId="15" fillId="29" borderId="147" xfId="56" applyNumberFormat="1" applyFont="1" applyFill="1" applyBorder="1">
      <alignment/>
      <protection/>
    </xf>
    <xf numFmtId="3" fontId="40" fillId="26" borderId="148" xfId="56" applyNumberFormat="1" applyFont="1" applyFill="1" applyBorder="1" applyAlignment="1" applyProtection="1">
      <alignment vertical="center"/>
      <protection locked="0"/>
    </xf>
    <xf numFmtId="3" fontId="15" fillId="29" borderId="147" xfId="56" applyNumberFormat="1" applyFont="1" applyFill="1" applyBorder="1" applyAlignment="1">
      <alignment vertical="center"/>
      <protection/>
    </xf>
    <xf numFmtId="3" fontId="15" fillId="0" borderId="148" xfId="56" applyNumberFormat="1" applyFont="1" applyFill="1" applyBorder="1" applyAlignment="1">
      <alignment vertical="center"/>
      <protection/>
    </xf>
    <xf numFmtId="3" fontId="15" fillId="29" borderId="227" xfId="56" applyNumberFormat="1" applyFont="1" applyFill="1" applyBorder="1" applyAlignment="1">
      <alignment vertical="center"/>
      <protection/>
    </xf>
    <xf numFmtId="3" fontId="15" fillId="29" borderId="228" xfId="56" applyNumberFormat="1" applyFont="1" applyFill="1" applyBorder="1" applyAlignment="1">
      <alignment vertical="center"/>
      <protection/>
    </xf>
    <xf numFmtId="3" fontId="15" fillId="0" borderId="227" xfId="56" applyNumberFormat="1" applyFont="1" applyFill="1" applyBorder="1" applyAlignment="1">
      <alignment vertical="center"/>
      <protection/>
    </xf>
    <xf numFmtId="3" fontId="15" fillId="29" borderId="229" xfId="56" applyNumberFormat="1" applyFont="1" applyFill="1" applyBorder="1" applyAlignment="1">
      <alignment vertical="center"/>
      <protection/>
    </xf>
    <xf numFmtId="3" fontId="15" fillId="0" borderId="229" xfId="56" applyNumberFormat="1" applyFont="1" applyFill="1" applyBorder="1" applyAlignment="1">
      <alignment vertical="center"/>
      <protection/>
    </xf>
    <xf numFmtId="3" fontId="15" fillId="0" borderId="230" xfId="56" applyNumberFormat="1" applyFont="1" applyFill="1" applyBorder="1" applyAlignment="1">
      <alignment vertical="center"/>
      <protection/>
    </xf>
    <xf numFmtId="3" fontId="15" fillId="0" borderId="67" xfId="56" applyNumberFormat="1" applyFont="1" applyFill="1" applyBorder="1" applyAlignment="1" applyProtection="1">
      <alignment vertical="center"/>
      <protection hidden="1"/>
    </xf>
    <xf numFmtId="3" fontId="15" fillId="0" borderId="102" xfId="56" applyNumberFormat="1" applyFont="1" applyFill="1" applyBorder="1" applyAlignment="1" applyProtection="1">
      <alignment vertical="center"/>
      <protection hidden="1"/>
    </xf>
    <xf numFmtId="3" fontId="15" fillId="29" borderId="213" xfId="56" applyNumberFormat="1" applyFont="1" applyFill="1" applyBorder="1" applyAlignment="1">
      <alignment vertical="center"/>
      <protection/>
    </xf>
    <xf numFmtId="3" fontId="40" fillId="29" borderId="231" xfId="56" applyNumberFormat="1" applyFont="1" applyFill="1" applyBorder="1" applyAlignment="1" applyProtection="1">
      <alignment vertical="center"/>
      <protection hidden="1"/>
    </xf>
    <xf numFmtId="4" fontId="40" fillId="30" borderId="232" xfId="0" applyNumberFormat="1" applyFont="1" applyFill="1" applyBorder="1" applyAlignment="1" applyProtection="1">
      <alignment vertical="center"/>
      <protection hidden="1"/>
    </xf>
    <xf numFmtId="3" fontId="15" fillId="26" borderId="233" xfId="56" applyNumberFormat="1" applyFont="1" applyFill="1" applyBorder="1" applyAlignment="1">
      <alignment vertical="center"/>
      <protection/>
    </xf>
    <xf numFmtId="3" fontId="40" fillId="0" borderId="233" xfId="56" applyNumberFormat="1" applyFont="1" applyFill="1" applyBorder="1" applyAlignment="1" applyProtection="1">
      <alignment vertical="center"/>
      <protection hidden="1"/>
    </xf>
    <xf numFmtId="3" fontId="40" fillId="0" borderId="234" xfId="56" applyNumberFormat="1" applyFont="1" applyFill="1" applyBorder="1" applyAlignment="1" applyProtection="1">
      <alignment vertical="center"/>
      <protection hidden="1"/>
    </xf>
    <xf numFmtId="3" fontId="40" fillId="29" borderId="235" xfId="56" applyNumberFormat="1" applyFont="1" applyFill="1" applyBorder="1" applyAlignment="1">
      <alignment vertical="center"/>
      <protection/>
    </xf>
    <xf numFmtId="0" fontId="2" fillId="0" borderId="64" xfId="0" applyFont="1" applyFill="1" applyBorder="1" applyAlignment="1">
      <alignment horizontal="left" vertical="center"/>
    </xf>
    <xf numFmtId="0" fontId="3" fillId="0" borderId="96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left" vertical="center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149" xfId="0" applyNumberFormat="1" applyFont="1" applyFill="1" applyBorder="1" applyAlignment="1" applyProtection="1">
      <alignment vertical="center"/>
      <protection locked="0"/>
    </xf>
    <xf numFmtId="4" fontId="3" fillId="0" borderId="60" xfId="0" applyNumberFormat="1" applyFont="1" applyFill="1" applyBorder="1" applyAlignment="1">
      <alignment vertical="center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92" xfId="0" applyNumberFormat="1" applyFont="1" applyFill="1" applyBorder="1" applyAlignment="1" applyProtection="1">
      <alignment vertical="center"/>
      <protection locked="0"/>
    </xf>
    <xf numFmtId="4" fontId="2" fillId="0" borderId="129" xfId="0" applyNumberFormat="1" applyFont="1" applyFill="1" applyBorder="1" applyAlignment="1">
      <alignment vertical="center"/>
    </xf>
    <xf numFmtId="0" fontId="3" fillId="0" borderId="199" xfId="0" applyFont="1" applyFill="1" applyBorder="1" applyAlignment="1">
      <alignment horizontal="left" vertical="center"/>
    </xf>
    <xf numFmtId="4" fontId="25" fillId="0" borderId="139" xfId="0" applyNumberFormat="1" applyFont="1" applyFill="1" applyBorder="1" applyAlignment="1">
      <alignment vertical="center"/>
    </xf>
    <xf numFmtId="49" fontId="2" fillId="26" borderId="62" xfId="0" applyNumberFormat="1" applyFont="1" applyFill="1" applyBorder="1" applyAlignment="1" applyProtection="1">
      <alignment horizontal="center" vertical="center"/>
      <protection/>
    </xf>
    <xf numFmtId="49" fontId="3" fillId="0" borderId="236" xfId="0" applyNumberFormat="1" applyFont="1" applyFill="1" applyBorder="1" applyAlignment="1" applyProtection="1">
      <alignment horizontal="center" vertical="center"/>
      <protection/>
    </xf>
    <xf numFmtId="0" fontId="3" fillId="26" borderId="236" xfId="0" applyFont="1" applyFill="1" applyBorder="1" applyAlignment="1" applyProtection="1">
      <alignment horizontal="center" vertical="center"/>
      <protection/>
    </xf>
    <xf numFmtId="0" fontId="3" fillId="26" borderId="236" xfId="0" applyFont="1" applyFill="1" applyBorder="1" applyAlignment="1" applyProtection="1">
      <alignment horizontal="center" vertical="center"/>
      <protection/>
    </xf>
    <xf numFmtId="49" fontId="2" fillId="26" borderId="63" xfId="0" applyNumberFormat="1" applyFont="1" applyFill="1" applyBorder="1" applyAlignment="1" applyProtection="1">
      <alignment horizontal="center" vertical="center"/>
      <protection/>
    </xf>
    <xf numFmtId="0" fontId="3" fillId="0" borderId="118" xfId="0" applyFont="1" applyFill="1" applyBorder="1" applyAlignment="1">
      <alignment horizontal="left" vertical="center"/>
    </xf>
    <xf numFmtId="0" fontId="3" fillId="26" borderId="118" xfId="0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 applyProtection="1">
      <alignment vertical="center"/>
      <protection/>
    </xf>
    <xf numFmtId="0" fontId="5" fillId="26" borderId="121" xfId="0" applyFont="1" applyFill="1" applyBorder="1" applyAlignment="1" applyProtection="1">
      <alignment vertical="center"/>
      <protection/>
    </xf>
    <xf numFmtId="0" fontId="3" fillId="26" borderId="62" xfId="0" applyFont="1" applyFill="1" applyBorder="1" applyAlignment="1" applyProtection="1">
      <alignment horizontal="center" vertical="center"/>
      <protection/>
    </xf>
    <xf numFmtId="0" fontId="2" fillId="26" borderId="67" xfId="0" applyFont="1" applyFill="1" applyBorder="1" applyAlignment="1" applyProtection="1">
      <alignment vertical="center"/>
      <protection/>
    </xf>
    <xf numFmtId="49" fontId="3" fillId="26" borderId="62" xfId="0" applyNumberFormat="1" applyFont="1" applyFill="1" applyBorder="1" applyAlignment="1" applyProtection="1">
      <alignment horizontal="center" vertical="center"/>
      <protection/>
    </xf>
    <xf numFmtId="0" fontId="2" fillId="26" borderId="64" xfId="0" applyFont="1" applyFill="1" applyBorder="1" applyAlignment="1" applyProtection="1">
      <alignment vertical="center"/>
      <protection/>
    </xf>
    <xf numFmtId="3" fontId="3" fillId="0" borderId="127" xfId="0" applyNumberFormat="1" applyFont="1" applyFill="1" applyBorder="1" applyAlignment="1" applyProtection="1">
      <alignment vertical="center"/>
      <protection/>
    </xf>
    <xf numFmtId="3" fontId="3" fillId="0" borderId="133" xfId="0" applyNumberFormat="1" applyFont="1" applyFill="1" applyBorder="1" applyAlignment="1" applyProtection="1">
      <alignment vertical="center"/>
      <protection/>
    </xf>
    <xf numFmtId="3" fontId="3" fillId="0" borderId="83" xfId="0" applyNumberFormat="1" applyFont="1" applyFill="1" applyBorder="1" applyAlignment="1" applyProtection="1">
      <alignment vertical="center"/>
      <protection/>
    </xf>
    <xf numFmtId="4" fontId="2" fillId="0" borderId="129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91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40" fillId="31" borderId="237" xfId="0" applyNumberFormat="1" applyFont="1" applyFill="1" applyBorder="1" applyAlignment="1" applyProtection="1">
      <alignment vertical="center"/>
      <protection hidden="1"/>
    </xf>
    <xf numFmtId="4" fontId="40" fillId="30" borderId="238" xfId="0" applyNumberFormat="1" applyFont="1" applyFill="1" applyBorder="1" applyAlignment="1" applyProtection="1">
      <alignment vertical="center"/>
      <protection hidden="1"/>
    </xf>
    <xf numFmtId="3" fontId="40" fillId="26" borderId="148" xfId="56" applyNumberFormat="1" applyFont="1" applyFill="1" applyBorder="1" applyAlignment="1" applyProtection="1">
      <alignment vertical="center"/>
      <protection hidden="1"/>
    </xf>
    <xf numFmtId="3" fontId="40" fillId="26" borderId="148" xfId="56" applyNumberFormat="1" applyFont="1" applyFill="1" applyBorder="1" applyAlignment="1" applyProtection="1">
      <alignment vertical="center"/>
      <protection locked="0"/>
    </xf>
    <xf numFmtId="0" fontId="2" fillId="26" borderId="239" xfId="56" applyFont="1" applyFill="1" applyBorder="1" applyAlignment="1">
      <alignment horizontal="center"/>
      <protection/>
    </xf>
    <xf numFmtId="0" fontId="2" fillId="26" borderId="84" xfId="56" applyFont="1" applyFill="1" applyBorder="1" applyAlignment="1">
      <alignment horizontal="center"/>
      <protection/>
    </xf>
    <xf numFmtId="0" fontId="2" fillId="26" borderId="240" xfId="56" applyFont="1" applyFill="1" applyBorder="1" applyAlignment="1">
      <alignment horizontal="center"/>
      <protection/>
    </xf>
    <xf numFmtId="0" fontId="2" fillId="26" borderId="114" xfId="56" applyFont="1" applyFill="1" applyBorder="1" applyAlignment="1">
      <alignment horizontal="center"/>
      <protection/>
    </xf>
    <xf numFmtId="3" fontId="15" fillId="33" borderId="241" xfId="56" applyNumberFormat="1" applyFont="1" applyFill="1" applyBorder="1" applyAlignment="1">
      <alignment vertical="center"/>
      <protection/>
    </xf>
    <xf numFmtId="3" fontId="15" fillId="33" borderId="242" xfId="56" applyNumberFormat="1" applyFont="1" applyFill="1" applyBorder="1" applyAlignment="1">
      <alignment horizontal="center" vertical="center"/>
      <protection/>
    </xf>
    <xf numFmtId="0" fontId="2" fillId="0" borderId="95" xfId="0" applyFont="1" applyFill="1" applyBorder="1" applyAlignment="1">
      <alignment horizontal="left"/>
    </xf>
    <xf numFmtId="0" fontId="0" fillId="26" borderId="0" xfId="0" applyFill="1" applyAlignment="1">
      <alignment/>
    </xf>
    <xf numFmtId="3" fontId="0" fillId="26" borderId="0" xfId="0" applyNumberFormat="1" applyFill="1" applyAlignment="1">
      <alignment/>
    </xf>
    <xf numFmtId="0" fontId="3" fillId="26" borderId="160" xfId="0" applyFont="1" applyFill="1" applyBorder="1" applyAlignment="1">
      <alignment horizontal="center"/>
    </xf>
    <xf numFmtId="0" fontId="17" fillId="26" borderId="160" xfId="0" applyFont="1" applyFill="1" applyBorder="1" applyAlignment="1">
      <alignment horizontal="center"/>
    </xf>
    <xf numFmtId="3" fontId="3" fillId="26" borderId="160" xfId="0" applyNumberFormat="1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26" borderId="120" xfId="0" applyFont="1" applyFill="1" applyBorder="1" applyAlignment="1">
      <alignment horizontal="center"/>
    </xf>
    <xf numFmtId="0" fontId="17" fillId="26" borderId="165" xfId="0" applyFont="1" applyFill="1" applyBorder="1" applyAlignment="1">
      <alignment horizontal="center"/>
    </xf>
    <xf numFmtId="3" fontId="3" fillId="26" borderId="120" xfId="0" applyNumberFormat="1" applyFont="1" applyFill="1" applyBorder="1" applyAlignment="1">
      <alignment horizontal="center"/>
    </xf>
    <xf numFmtId="0" fontId="3" fillId="26" borderId="158" xfId="0" applyFont="1" applyFill="1" applyBorder="1" applyAlignment="1">
      <alignment horizontal="center"/>
    </xf>
    <xf numFmtId="0" fontId="17" fillId="26" borderId="166" xfId="0" applyFont="1" applyFill="1" applyBorder="1" applyAlignment="1">
      <alignment horizontal="center"/>
    </xf>
    <xf numFmtId="3" fontId="3" fillId="26" borderId="158" xfId="0" applyNumberFormat="1" applyFont="1" applyFill="1" applyBorder="1" applyAlignment="1">
      <alignment horizontal="center"/>
    </xf>
    <xf numFmtId="3" fontId="3" fillId="0" borderId="158" xfId="0" applyNumberFormat="1" applyFont="1" applyFill="1" applyBorder="1" applyAlignment="1">
      <alignment horizontal="center"/>
    </xf>
    <xf numFmtId="0" fontId="3" fillId="26" borderId="86" xfId="0" applyFont="1" applyFill="1" applyBorder="1" applyAlignment="1">
      <alignment horizontal="center" vertical="center"/>
    </xf>
    <xf numFmtId="0" fontId="2" fillId="26" borderId="120" xfId="0" applyFont="1" applyFill="1" applyBorder="1" applyAlignment="1">
      <alignment horizontal="center"/>
    </xf>
    <xf numFmtId="0" fontId="17" fillId="26" borderId="120" xfId="0" applyFont="1" applyFill="1" applyBorder="1" applyAlignment="1">
      <alignment/>
    </xf>
    <xf numFmtId="3" fontId="17" fillId="26" borderId="160" xfId="0" applyNumberFormat="1" applyFont="1" applyFill="1" applyBorder="1" applyAlignment="1">
      <alignment/>
    </xf>
    <xf numFmtId="0" fontId="4" fillId="0" borderId="160" xfId="0" applyFont="1" applyFill="1" applyBorder="1" applyAlignment="1">
      <alignment/>
    </xf>
    <xf numFmtId="0" fontId="17" fillId="26" borderId="120" xfId="0" applyFont="1" applyFill="1" applyBorder="1" applyAlignment="1">
      <alignment horizontal="center"/>
    </xf>
    <xf numFmtId="0" fontId="17" fillId="26" borderId="63" xfId="0" applyFont="1" applyFill="1" applyBorder="1" applyAlignment="1">
      <alignment/>
    </xf>
    <xf numFmtId="3" fontId="17" fillId="26" borderId="120" xfId="0" applyNumberFormat="1" applyFont="1" applyFill="1" applyBorder="1" applyAlignment="1">
      <alignment/>
    </xf>
    <xf numFmtId="0" fontId="4" fillId="0" borderId="120" xfId="0" applyFont="1" applyFill="1" applyBorder="1" applyAlignment="1">
      <alignment/>
    </xf>
    <xf numFmtId="3" fontId="17" fillId="0" borderId="120" xfId="0" applyNumberFormat="1" applyFont="1" applyFill="1" applyBorder="1" applyAlignment="1">
      <alignment/>
    </xf>
    <xf numFmtId="0" fontId="15" fillId="26" borderId="63" xfId="0" applyFont="1" applyFill="1" applyBorder="1" applyAlignment="1">
      <alignment horizontal="center"/>
    </xf>
    <xf numFmtId="0" fontId="15" fillId="26" borderId="63" xfId="0" applyFont="1" applyFill="1" applyBorder="1" applyAlignment="1">
      <alignment/>
    </xf>
    <xf numFmtId="0" fontId="10" fillId="26" borderId="120" xfId="0" applyFont="1" applyFill="1" applyBorder="1" applyAlignment="1">
      <alignment horizontal="center"/>
    </xf>
    <xf numFmtId="0" fontId="10" fillId="26" borderId="63" xfId="0" applyFont="1" applyFill="1" applyBorder="1" applyAlignment="1">
      <alignment/>
    </xf>
    <xf numFmtId="0" fontId="17" fillId="26" borderId="0" xfId="0" applyFont="1" applyFill="1" applyBorder="1" applyAlignment="1">
      <alignment/>
    </xf>
    <xf numFmtId="0" fontId="2" fillId="26" borderId="63" xfId="0" applyFont="1" applyFill="1" applyBorder="1" applyAlignment="1">
      <alignment/>
    </xf>
    <xf numFmtId="3" fontId="2" fillId="26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0" fontId="4" fillId="26" borderId="120" xfId="0" applyFont="1" applyFill="1" applyBorder="1" applyAlignment="1">
      <alignment horizontal="center" vertical="top"/>
    </xf>
    <xf numFmtId="3" fontId="10" fillId="26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7" fillId="26" borderId="0" xfId="0" applyFont="1" applyFill="1" applyBorder="1" applyAlignment="1">
      <alignment/>
    </xf>
    <xf numFmtId="0" fontId="15" fillId="26" borderId="236" xfId="0" applyFont="1" applyFill="1" applyBorder="1" applyAlignment="1">
      <alignment/>
    </xf>
    <xf numFmtId="3" fontId="10" fillId="0" borderId="243" xfId="0" applyNumberFormat="1" applyFont="1" applyFill="1" applyBorder="1" applyAlignment="1">
      <alignment horizontal="right" vertical="center"/>
    </xf>
    <xf numFmtId="0" fontId="12" fillId="26" borderId="86" xfId="0" applyFont="1" applyFill="1" applyBorder="1" applyAlignment="1">
      <alignment horizontal="center" vertical="center"/>
    </xf>
    <xf numFmtId="0" fontId="12" fillId="26" borderId="86" xfId="0" applyFont="1" applyFill="1" applyBorder="1" applyAlignment="1">
      <alignment vertical="center"/>
    </xf>
    <xf numFmtId="3" fontId="12" fillId="26" borderId="86" xfId="0" applyNumberFormat="1" applyFont="1" applyFill="1" applyBorder="1" applyAlignment="1">
      <alignment vertical="center"/>
    </xf>
    <xf numFmtId="3" fontId="4" fillId="0" borderId="120" xfId="0" applyNumberFormat="1" applyFont="1" applyFill="1" applyBorder="1" applyAlignment="1">
      <alignment/>
    </xf>
    <xf numFmtId="3" fontId="4" fillId="26" borderId="120" xfId="0" applyNumberFormat="1" applyFont="1" applyFill="1" applyBorder="1" applyAlignment="1">
      <alignment/>
    </xf>
    <xf numFmtId="0" fontId="4" fillId="0" borderId="120" xfId="0" applyFont="1" applyBorder="1" applyAlignment="1">
      <alignment/>
    </xf>
    <xf numFmtId="3" fontId="4" fillId="0" borderId="120" xfId="0" applyNumberFormat="1" applyFont="1" applyFill="1" applyBorder="1" applyAlignment="1">
      <alignment/>
    </xf>
    <xf numFmtId="0" fontId="4" fillId="0" borderId="120" xfId="0" applyFont="1" applyBorder="1" applyAlignment="1">
      <alignment/>
    </xf>
    <xf numFmtId="0" fontId="0" fillId="26" borderId="204" xfId="0" applyFill="1" applyBorder="1" applyAlignment="1">
      <alignment/>
    </xf>
    <xf numFmtId="3" fontId="4" fillId="26" borderId="0" xfId="0" applyNumberFormat="1" applyFont="1" applyFill="1" applyAlignment="1">
      <alignment/>
    </xf>
    <xf numFmtId="4" fontId="10" fillId="24" borderId="24" xfId="0" applyNumberFormat="1" applyFont="1" applyFill="1" applyBorder="1" applyAlignment="1">
      <alignment vertical="center"/>
    </xf>
    <xf numFmtId="4" fontId="12" fillId="26" borderId="86" xfId="0" applyNumberFormat="1" applyFont="1" applyFill="1" applyBorder="1" applyAlignment="1">
      <alignment vertical="center"/>
    </xf>
    <xf numFmtId="4" fontId="10" fillId="0" borderId="243" xfId="0" applyNumberFormat="1" applyFont="1" applyFill="1" applyBorder="1" applyAlignment="1">
      <alignment horizontal="right" vertical="center"/>
    </xf>
    <xf numFmtId="0" fontId="3" fillId="26" borderId="179" xfId="0" applyFont="1" applyFill="1" applyBorder="1" applyAlignment="1">
      <alignment horizontal="center" wrapText="1"/>
    </xf>
    <xf numFmtId="0" fontId="3" fillId="26" borderId="120" xfId="0" applyFont="1" applyFill="1" applyBorder="1" applyAlignment="1">
      <alignment horizontal="center" wrapText="1"/>
    </xf>
    <xf numFmtId="0" fontId="2" fillId="26" borderId="158" xfId="0" applyFont="1" applyFill="1" applyBorder="1" applyAlignment="1">
      <alignment horizontal="center"/>
    </xf>
    <xf numFmtId="0" fontId="3" fillId="26" borderId="114" xfId="0" applyFont="1" applyFill="1" applyBorder="1" applyAlignment="1">
      <alignment horizontal="center" wrapText="1"/>
    </xf>
    <xf numFmtId="0" fontId="3" fillId="26" borderId="20" xfId="0" applyFont="1" applyFill="1" applyBorder="1" applyAlignment="1">
      <alignment horizontal="center"/>
    </xf>
    <xf numFmtId="0" fontId="3" fillId="26" borderId="244" xfId="0" applyFont="1" applyFill="1" applyBorder="1" applyAlignment="1">
      <alignment horizontal="center" wrapText="1"/>
    </xf>
    <xf numFmtId="3" fontId="3" fillId="0" borderId="86" xfId="0" applyNumberFormat="1" applyFont="1" applyFill="1" applyBorder="1" applyAlignment="1">
      <alignment horizontal="center"/>
    </xf>
    <xf numFmtId="3" fontId="3" fillId="26" borderId="86" xfId="0" applyNumberFormat="1" applyFont="1" applyFill="1" applyBorder="1" applyAlignment="1">
      <alignment horizontal="center"/>
    </xf>
    <xf numFmtId="0" fontId="20" fillId="26" borderId="120" xfId="0" applyFont="1" applyFill="1" applyBorder="1" applyAlignment="1">
      <alignment horizontal="center"/>
    </xf>
    <xf numFmtId="3" fontId="17" fillId="26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0" fontId="17" fillId="26" borderId="0" xfId="0" applyFont="1" applyFill="1" applyAlignment="1">
      <alignment/>
    </xf>
    <xf numFmtId="3" fontId="3" fillId="26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/>
    </xf>
    <xf numFmtId="3" fontId="2" fillId="0" borderId="14" xfId="0" applyNumberFormat="1" applyFont="1" applyBorder="1" applyAlignment="1">
      <alignment vertical="center"/>
    </xf>
    <xf numFmtId="0" fontId="2" fillId="0" borderId="120" xfId="0" applyFont="1" applyFill="1" applyBorder="1" applyAlignment="1">
      <alignment/>
    </xf>
    <xf numFmtId="0" fontId="25" fillId="0" borderId="63" xfId="0" applyFont="1" applyFill="1" applyBorder="1" applyAlignment="1">
      <alignment wrapText="1"/>
    </xf>
    <xf numFmtId="3" fontId="2" fillId="26" borderId="14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0" fontId="2" fillId="0" borderId="112" xfId="0" applyFont="1" applyFill="1" applyBorder="1" applyAlignment="1">
      <alignment/>
    </xf>
    <xf numFmtId="0" fontId="25" fillId="0" borderId="120" xfId="0" applyFont="1" applyFill="1" applyBorder="1" applyAlignment="1">
      <alignment/>
    </xf>
    <xf numFmtId="3" fontId="10" fillId="26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2" fillId="26" borderId="14" xfId="0" applyNumberFormat="1" applyFont="1" applyFill="1" applyBorder="1" applyAlignment="1">
      <alignment vertical="center"/>
    </xf>
    <xf numFmtId="0" fontId="2" fillId="0" borderId="63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120" xfId="0" applyFont="1" applyFill="1" applyBorder="1" applyAlignment="1">
      <alignment/>
    </xf>
    <xf numFmtId="0" fontId="2" fillId="26" borderId="63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1" fillId="26" borderId="120" xfId="0" applyFont="1" applyFill="1" applyBorder="1" applyAlignment="1">
      <alignment horizontal="center"/>
    </xf>
    <xf numFmtId="0" fontId="10" fillId="26" borderId="208" xfId="0" applyFont="1" applyFill="1" applyBorder="1" applyAlignment="1">
      <alignment/>
    </xf>
    <xf numFmtId="3" fontId="10" fillId="0" borderId="189" xfId="0" applyNumberFormat="1" applyFont="1" applyFill="1" applyBorder="1" applyAlignment="1">
      <alignment horizontal="right" vertical="center"/>
    </xf>
    <xf numFmtId="0" fontId="10" fillId="26" borderId="120" xfId="0" applyFont="1" applyFill="1" applyBorder="1" applyAlignment="1">
      <alignment horizontal="center" vertical="top"/>
    </xf>
    <xf numFmtId="0" fontId="10" fillId="26" borderId="63" xfId="0" applyFont="1" applyFill="1" applyBorder="1" applyAlignment="1">
      <alignment vertical="top"/>
    </xf>
    <xf numFmtId="0" fontId="2" fillId="26" borderId="63" xfId="0" applyFont="1" applyFill="1" applyBorder="1" applyAlignment="1">
      <alignment/>
    </xf>
    <xf numFmtId="3" fontId="2" fillId="26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15" fillId="26" borderId="120" xfId="0" applyFont="1" applyFill="1" applyBorder="1" applyAlignment="1">
      <alignment horizontal="center"/>
    </xf>
    <xf numFmtId="0" fontId="15" fillId="26" borderId="112" xfId="0" applyFont="1" applyFill="1" applyBorder="1" applyAlignment="1">
      <alignment/>
    </xf>
    <xf numFmtId="0" fontId="2" fillId="26" borderId="120" xfId="0" applyFont="1" applyFill="1" applyBorder="1" applyAlignment="1">
      <alignment horizontal="center" vertical="top"/>
    </xf>
    <xf numFmtId="0" fontId="2" fillId="0" borderId="120" xfId="0" applyFont="1" applyFill="1" applyBorder="1" applyAlignment="1">
      <alignment wrapText="1"/>
    </xf>
    <xf numFmtId="0" fontId="17" fillId="26" borderId="86" xfId="0" applyFont="1" applyFill="1" applyBorder="1" applyAlignment="1">
      <alignment horizontal="center" vertical="center"/>
    </xf>
    <xf numFmtId="0" fontId="17" fillId="26" borderId="245" xfId="0" applyFont="1" applyFill="1" applyBorder="1" applyAlignment="1">
      <alignment vertical="center"/>
    </xf>
    <xf numFmtId="3" fontId="17" fillId="0" borderId="187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7" fillId="0" borderId="187" xfId="0" applyNumberFormat="1" applyFont="1" applyFill="1" applyBorder="1" applyAlignment="1">
      <alignment horizontal="right" vertical="center"/>
    </xf>
    <xf numFmtId="3" fontId="17" fillId="26" borderId="18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4" fontId="17" fillId="0" borderId="187" xfId="0" applyNumberFormat="1" applyFont="1" applyFill="1" applyBorder="1" applyAlignment="1">
      <alignment horizontal="right" vertical="center"/>
    </xf>
    <xf numFmtId="4" fontId="17" fillId="0" borderId="187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3" fontId="0" fillId="26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 horizontal="right"/>
    </xf>
    <xf numFmtId="0" fontId="66" fillId="0" borderId="33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4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2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31" xfId="0" applyFont="1" applyBorder="1" applyAlignment="1">
      <alignment/>
    </xf>
    <xf numFmtId="0" fontId="22" fillId="0" borderId="17" xfId="0" applyFont="1" applyBorder="1" applyAlignment="1">
      <alignment/>
    </xf>
    <xf numFmtId="0" fontId="77" fillId="0" borderId="24" xfId="0" applyFont="1" applyFill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22" xfId="0" applyFont="1" applyBorder="1" applyAlignment="1">
      <alignment/>
    </xf>
    <xf numFmtId="0" fontId="66" fillId="0" borderId="17" xfId="0" applyFont="1" applyFill="1" applyBorder="1" applyAlignment="1">
      <alignment horizontal="center"/>
    </xf>
    <xf numFmtId="0" fontId="66" fillId="0" borderId="31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27" xfId="0" applyFont="1" applyBorder="1" applyAlignment="1">
      <alignment/>
    </xf>
    <xf numFmtId="0" fontId="78" fillId="0" borderId="17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/>
    </xf>
    <xf numFmtId="0" fontId="77" fillId="0" borderId="31" xfId="0" applyFont="1" applyFill="1" applyBorder="1" applyAlignment="1">
      <alignment horizontal="center"/>
    </xf>
    <xf numFmtId="0" fontId="66" fillId="0" borderId="17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7" fillId="0" borderId="17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22" xfId="0" applyFont="1" applyBorder="1" applyAlignment="1">
      <alignment/>
    </xf>
    <xf numFmtId="0" fontId="78" fillId="0" borderId="54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25" fillId="0" borderId="58" xfId="0" applyFont="1" applyBorder="1" applyAlignment="1">
      <alignment/>
    </xf>
    <xf numFmtId="0" fontId="25" fillId="0" borderId="44" xfId="0" applyFont="1" applyBorder="1" applyAlignment="1">
      <alignment/>
    </xf>
    <xf numFmtId="0" fontId="66" fillId="0" borderId="60" xfId="0" applyFont="1" applyBorder="1" applyAlignment="1">
      <alignment/>
    </xf>
    <xf numFmtId="0" fontId="66" fillId="0" borderId="50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57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6" fillId="0" borderId="77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0" fontId="66" fillId="0" borderId="60" xfId="0" applyFont="1" applyBorder="1" applyAlignment="1">
      <alignment horizontal="center"/>
    </xf>
    <xf numFmtId="0" fontId="66" fillId="0" borderId="140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6" fillId="0" borderId="24" xfId="0" applyFont="1" applyBorder="1" applyAlignment="1">
      <alignment/>
    </xf>
    <xf numFmtId="0" fontId="29" fillId="0" borderId="18" xfId="0" applyFont="1" applyBorder="1" applyAlignment="1">
      <alignment/>
    </xf>
    <xf numFmtId="3" fontId="66" fillId="0" borderId="31" xfId="0" applyNumberFormat="1" applyFont="1" applyBorder="1" applyAlignment="1">
      <alignment horizontal="right"/>
    </xf>
    <xf numFmtId="3" fontId="66" fillId="0" borderId="17" xfId="0" applyNumberFormat="1" applyFont="1" applyBorder="1" applyAlignment="1">
      <alignment/>
    </xf>
    <xf numFmtId="3" fontId="66" fillId="0" borderId="24" xfId="0" applyNumberFormat="1" applyFont="1" applyBorder="1" applyAlignment="1">
      <alignment/>
    </xf>
    <xf numFmtId="0" fontId="29" fillId="0" borderId="18" xfId="0" applyFont="1" applyFill="1" applyBorder="1" applyAlignment="1">
      <alignment horizontal="left"/>
    </xf>
    <xf numFmtId="0" fontId="25" fillId="0" borderId="51" xfId="0" applyFont="1" applyBorder="1" applyAlignment="1">
      <alignment/>
    </xf>
    <xf numFmtId="3" fontId="66" fillId="0" borderId="39" xfId="0" applyNumberFormat="1" applyFont="1" applyBorder="1" applyAlignment="1">
      <alignment horizontal="right"/>
    </xf>
    <xf numFmtId="164" fontId="66" fillId="0" borderId="17" xfId="0" applyNumberFormat="1" applyFont="1" applyBorder="1" applyAlignment="1">
      <alignment/>
    </xf>
    <xf numFmtId="0" fontId="66" fillId="0" borderId="18" xfId="0" applyFont="1" applyFill="1" applyBorder="1" applyAlignment="1">
      <alignment/>
    </xf>
    <xf numFmtId="3" fontId="66" fillId="0" borderId="13" xfId="0" applyNumberFormat="1" applyFont="1" applyFill="1" applyBorder="1" applyAlignment="1">
      <alignment/>
    </xf>
    <xf numFmtId="3" fontId="66" fillId="0" borderId="18" xfId="0" applyNumberFormat="1" applyFont="1" applyFill="1" applyBorder="1" applyAlignment="1">
      <alignment/>
    </xf>
    <xf numFmtId="164" fontId="25" fillId="0" borderId="0" xfId="0" applyNumberFormat="1" applyFont="1" applyAlignment="1">
      <alignment/>
    </xf>
    <xf numFmtId="3" fontId="66" fillId="0" borderId="13" xfId="0" applyNumberFormat="1" applyFont="1" applyBorder="1" applyAlignment="1">
      <alignment/>
    </xf>
    <xf numFmtId="3" fontId="66" fillId="0" borderId="18" xfId="0" applyNumberFormat="1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18" xfId="0" applyFont="1" applyBorder="1" applyAlignment="1">
      <alignment/>
    </xf>
    <xf numFmtId="3" fontId="79" fillId="0" borderId="31" xfId="0" applyNumberFormat="1" applyFont="1" applyBorder="1" applyAlignment="1">
      <alignment horizontal="right"/>
    </xf>
    <xf numFmtId="3" fontId="79" fillId="0" borderId="17" xfId="0" applyNumberFormat="1" applyFont="1" applyBorder="1" applyAlignment="1">
      <alignment horizontal="right"/>
    </xf>
    <xf numFmtId="3" fontId="79" fillId="0" borderId="24" xfId="0" applyNumberFormat="1" applyFont="1" applyBorder="1" applyAlignment="1">
      <alignment horizontal="right"/>
    </xf>
    <xf numFmtId="0" fontId="80" fillId="0" borderId="18" xfId="0" applyFont="1" applyBorder="1" applyAlignment="1">
      <alignment/>
    </xf>
    <xf numFmtId="0" fontId="80" fillId="0" borderId="18" xfId="0" applyFont="1" applyBorder="1" applyAlignment="1">
      <alignment wrapText="1"/>
    </xf>
    <xf numFmtId="0" fontId="22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46" xfId="0" applyFont="1" applyBorder="1" applyAlignment="1">
      <alignment/>
    </xf>
    <xf numFmtId="0" fontId="30" fillId="0" borderId="35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79" fillId="0" borderId="18" xfId="0" applyFont="1" applyBorder="1" applyAlignment="1">
      <alignment/>
    </xf>
    <xf numFmtId="0" fontId="66" fillId="0" borderId="18" xfId="0" applyFont="1" applyFill="1" applyBorder="1" applyAlignment="1">
      <alignment horizontal="center"/>
    </xf>
    <xf numFmtId="0" fontId="66" fillId="0" borderId="46" xfId="0" applyFont="1" applyFill="1" applyBorder="1" applyAlignment="1">
      <alignment horizontal="center"/>
    </xf>
    <xf numFmtId="0" fontId="79" fillId="0" borderId="17" xfId="0" applyFont="1" applyBorder="1" applyAlignment="1">
      <alignment horizontal="center" vertical="center"/>
    </xf>
    <xf numFmtId="0" fontId="66" fillId="0" borderId="54" xfId="0" applyFont="1" applyFill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66" fillId="0" borderId="44" xfId="0" applyFont="1" applyBorder="1" applyAlignment="1">
      <alignment/>
    </xf>
    <xf numFmtId="0" fontId="66" fillId="0" borderId="58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9" fillId="0" borderId="51" xfId="0" applyFont="1" applyBorder="1" applyAlignment="1">
      <alignment/>
    </xf>
    <xf numFmtId="3" fontId="66" fillId="0" borderId="22" xfId="0" applyNumberFormat="1" applyFont="1" applyBorder="1" applyAlignment="1">
      <alignment/>
    </xf>
    <xf numFmtId="3" fontId="79" fillId="0" borderId="22" xfId="0" applyNumberFormat="1" applyFont="1" applyBorder="1" applyAlignment="1">
      <alignment/>
    </xf>
    <xf numFmtId="3" fontId="80" fillId="0" borderId="22" xfId="0" applyNumberFormat="1" applyFont="1" applyBorder="1" applyAlignment="1">
      <alignment/>
    </xf>
    <xf numFmtId="3" fontId="80" fillId="0" borderId="22" xfId="0" applyNumberFormat="1" applyFont="1" applyBorder="1" applyAlignment="1">
      <alignment wrapText="1"/>
    </xf>
    <xf numFmtId="0" fontId="47" fillId="0" borderId="21" xfId="0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0" fontId="47" fillId="0" borderId="246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9" fillId="0" borderId="31" xfId="0" applyFont="1" applyBorder="1" applyAlignment="1">
      <alignment/>
    </xf>
    <xf numFmtId="3" fontId="11" fillId="0" borderId="16" xfId="0" applyNumberFormat="1" applyFont="1" applyFill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29" fillId="0" borderId="31" xfId="0" applyFont="1" applyFill="1" applyBorder="1" applyAlignment="1">
      <alignment horizontal="left"/>
    </xf>
    <xf numFmtId="3" fontId="11" fillId="0" borderId="48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1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1" xfId="0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32" fillId="0" borderId="18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65" fillId="0" borderId="31" xfId="0" applyFont="1" applyBorder="1" applyAlignment="1">
      <alignment wrapText="1"/>
    </xf>
    <xf numFmtId="0" fontId="66" fillId="0" borderId="17" xfId="0" applyFont="1" applyBorder="1" applyAlignment="1">
      <alignment horizontal="center"/>
    </xf>
    <xf numFmtId="0" fontId="25" fillId="0" borderId="56" xfId="0" applyFont="1" applyBorder="1" applyAlignment="1">
      <alignment/>
    </xf>
    <xf numFmtId="0" fontId="25" fillId="0" borderId="38" xfId="0" applyFont="1" applyBorder="1" applyAlignment="1">
      <alignment/>
    </xf>
    <xf numFmtId="3" fontId="66" fillId="0" borderId="17" xfId="0" applyNumberFormat="1" applyFont="1" applyFill="1" applyBorder="1" applyAlignment="1">
      <alignment/>
    </xf>
    <xf numFmtId="3" fontId="79" fillId="0" borderId="17" xfId="0" applyNumberFormat="1" applyFont="1" applyBorder="1" applyAlignment="1">
      <alignment/>
    </xf>
    <xf numFmtId="3" fontId="80" fillId="0" borderId="17" xfId="0" applyNumberFormat="1" applyFont="1" applyBorder="1" applyAlignment="1">
      <alignment/>
    </xf>
    <xf numFmtId="3" fontId="80" fillId="0" borderId="17" xfId="0" applyNumberFormat="1" applyFont="1" applyBorder="1" applyAlignment="1">
      <alignment wrapText="1"/>
    </xf>
    <xf numFmtId="0" fontId="66" fillId="0" borderId="21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143" xfId="0" applyFont="1" applyBorder="1" applyAlignment="1">
      <alignment/>
    </xf>
    <xf numFmtId="0" fontId="87" fillId="0" borderId="14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66" xfId="0" applyFont="1" applyBorder="1" applyAlignment="1">
      <alignment/>
    </xf>
    <xf numFmtId="0" fontId="29" fillId="0" borderId="38" xfId="0" applyFont="1" applyBorder="1" applyAlignment="1">
      <alignment/>
    </xf>
    <xf numFmtId="0" fontId="79" fillId="0" borderId="31" xfId="0" applyFont="1" applyBorder="1" applyAlignment="1">
      <alignment/>
    </xf>
    <xf numFmtId="3" fontId="79" fillId="0" borderId="0" xfId="0" applyNumberFormat="1" applyFont="1" applyBorder="1" applyAlignment="1">
      <alignment/>
    </xf>
    <xf numFmtId="0" fontId="80" fillId="0" borderId="31" xfId="0" applyFont="1" applyBorder="1" applyAlignment="1">
      <alignment/>
    </xf>
    <xf numFmtId="3" fontId="80" fillId="0" borderId="0" xfId="0" applyNumberFormat="1" applyFont="1" applyBorder="1" applyAlignment="1">
      <alignment/>
    </xf>
    <xf numFmtId="0" fontId="80" fillId="0" borderId="31" xfId="0" applyFont="1" applyBorder="1" applyAlignment="1">
      <alignment wrapText="1"/>
    </xf>
    <xf numFmtId="3" fontId="80" fillId="0" borderId="0" xfId="0" applyNumberFormat="1" applyFont="1" applyBorder="1" applyAlignment="1">
      <alignment wrapText="1"/>
    </xf>
    <xf numFmtId="0" fontId="47" fillId="0" borderId="17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0" fillId="0" borderId="40" xfId="0" applyBorder="1" applyAlignment="1">
      <alignment/>
    </xf>
    <xf numFmtId="0" fontId="32" fillId="0" borderId="4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3" fontId="0" fillId="26" borderId="0" xfId="0" applyNumberFormat="1" applyFont="1" applyFill="1" applyBorder="1" applyAlignment="1">
      <alignment horizontal="center"/>
    </xf>
    <xf numFmtId="3" fontId="0" fillId="26" borderId="0" xfId="0" applyNumberFormat="1" applyFill="1" applyBorder="1" applyAlignment="1">
      <alignment horizontal="center"/>
    </xf>
    <xf numFmtId="3" fontId="3" fillId="26" borderId="3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6" borderId="63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/>
    </xf>
    <xf numFmtId="3" fontId="3" fillId="26" borderId="14" xfId="0" applyNumberFormat="1" applyFont="1" applyFill="1" applyBorder="1" applyAlignment="1">
      <alignment horizontal="center"/>
    </xf>
    <xf numFmtId="3" fontId="2" fillId="26" borderId="24" xfId="0" applyNumberFormat="1" applyFont="1" applyFill="1" applyBorder="1" applyAlignment="1">
      <alignment horizontal="center"/>
    </xf>
    <xf numFmtId="0" fontId="3" fillId="26" borderId="208" xfId="0" applyFont="1" applyFill="1" applyBorder="1" applyAlignment="1">
      <alignment horizontal="center"/>
    </xf>
    <xf numFmtId="0" fontId="17" fillId="26" borderId="247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89" xfId="0" applyNumberFormat="1" applyFont="1" applyFill="1" applyBorder="1" applyAlignment="1">
      <alignment horizontal="center"/>
    </xf>
    <xf numFmtId="3" fontId="3" fillId="0" borderId="248" xfId="0" applyNumberFormat="1" applyFont="1" applyFill="1" applyBorder="1" applyAlignment="1">
      <alignment horizontal="center"/>
    </xf>
    <xf numFmtId="0" fontId="3" fillId="26" borderId="206" xfId="0" applyFont="1" applyFill="1" applyBorder="1" applyAlignment="1">
      <alignment horizontal="center" vertical="center"/>
    </xf>
    <xf numFmtId="0" fontId="3" fillId="26" borderId="249" xfId="0" applyFont="1" applyFill="1" applyBorder="1" applyAlignment="1">
      <alignment horizontal="center" vertical="center"/>
    </xf>
    <xf numFmtId="3" fontId="3" fillId="26" borderId="250" xfId="0" applyNumberFormat="1" applyFont="1" applyFill="1" applyBorder="1" applyAlignment="1">
      <alignment horizontal="center" vertical="center"/>
    </xf>
    <xf numFmtId="3" fontId="3" fillId="0" borderId="250" xfId="0" applyNumberFormat="1" applyFont="1" applyFill="1" applyBorder="1" applyAlignment="1">
      <alignment horizontal="center" vertical="center"/>
    </xf>
    <xf numFmtId="3" fontId="3" fillId="0" borderId="251" xfId="0" applyNumberFormat="1" applyFont="1" applyFill="1" applyBorder="1" applyAlignment="1">
      <alignment horizontal="center" vertical="center"/>
    </xf>
    <xf numFmtId="3" fontId="3" fillId="26" borderId="33" xfId="0" applyNumberFormat="1" applyFont="1" applyFill="1" applyBorder="1" applyAlignment="1">
      <alignment horizontal="center"/>
    </xf>
    <xf numFmtId="3" fontId="3" fillId="26" borderId="14" xfId="0" applyNumberFormat="1" applyFont="1" applyFill="1" applyBorder="1" applyAlignment="1">
      <alignment horizontal="center"/>
    </xf>
    <xf numFmtId="3" fontId="3" fillId="26" borderId="17" xfId="0" applyNumberFormat="1" applyFont="1" applyFill="1" applyBorder="1" applyAlignment="1">
      <alignment horizontal="center"/>
    </xf>
    <xf numFmtId="3" fontId="3" fillId="26" borderId="22" xfId="0" applyNumberFormat="1" applyFont="1" applyFill="1" applyBorder="1" applyAlignment="1">
      <alignment horizontal="center"/>
    </xf>
    <xf numFmtId="3" fontId="3" fillId="26" borderId="31" xfId="0" applyNumberFormat="1" applyFont="1" applyFill="1" applyBorder="1" applyAlignment="1">
      <alignment horizontal="center"/>
    </xf>
    <xf numFmtId="0" fontId="17" fillId="26" borderId="14" xfId="0" applyFont="1" applyFill="1" applyBorder="1" applyAlignment="1">
      <alignment wrapText="1"/>
    </xf>
    <xf numFmtId="3" fontId="2" fillId="26" borderId="17" xfId="0" applyNumberFormat="1" applyFont="1" applyFill="1" applyBorder="1" applyAlignment="1">
      <alignment/>
    </xf>
    <xf numFmtId="3" fontId="40" fillId="26" borderId="14" xfId="0" applyNumberFormat="1" applyFont="1" applyFill="1" applyBorder="1" applyAlignment="1">
      <alignment/>
    </xf>
    <xf numFmtId="3" fontId="2" fillId="26" borderId="22" xfId="0" applyNumberFormat="1" applyFont="1" applyFill="1" applyBorder="1" applyAlignment="1">
      <alignment/>
    </xf>
    <xf numFmtId="4" fontId="2" fillId="26" borderId="31" xfId="0" applyNumberFormat="1" applyFont="1" applyFill="1" applyBorder="1" applyAlignment="1">
      <alignment/>
    </xf>
    <xf numFmtId="3" fontId="15" fillId="26" borderId="17" xfId="0" applyNumberFormat="1" applyFont="1" applyFill="1" applyBorder="1" applyAlignment="1">
      <alignment horizontal="center" vertical="center"/>
    </xf>
    <xf numFmtId="3" fontId="15" fillId="26" borderId="14" xfId="0" applyNumberFormat="1" applyFont="1" applyFill="1" applyBorder="1" applyAlignment="1">
      <alignment vertical="center"/>
    </xf>
    <xf numFmtId="3" fontId="3" fillId="26" borderId="17" xfId="0" applyNumberFormat="1" applyFont="1" applyFill="1" applyBorder="1" applyAlignment="1">
      <alignment/>
    </xf>
    <xf numFmtId="3" fontId="3" fillId="26" borderId="22" xfId="0" applyNumberFormat="1" applyFont="1" applyFill="1" applyBorder="1" applyAlignment="1">
      <alignment/>
    </xf>
    <xf numFmtId="4" fontId="3" fillId="26" borderId="31" xfId="0" applyNumberFormat="1" applyFont="1" applyFill="1" applyBorder="1" applyAlignment="1">
      <alignment/>
    </xf>
    <xf numFmtId="3" fontId="3" fillId="26" borderId="17" xfId="0" applyNumberFormat="1" applyFont="1" applyFill="1" applyBorder="1" applyAlignment="1">
      <alignment vertical="center"/>
    </xf>
    <xf numFmtId="3" fontId="3" fillId="26" borderId="22" xfId="0" applyNumberFormat="1" applyFont="1" applyFill="1" applyBorder="1" applyAlignment="1">
      <alignment vertical="center"/>
    </xf>
    <xf numFmtId="4" fontId="3" fillId="26" borderId="31" xfId="0" applyNumberFormat="1" applyFont="1" applyFill="1" applyBorder="1" applyAlignment="1">
      <alignment vertical="center"/>
    </xf>
    <xf numFmtId="3" fontId="40" fillId="26" borderId="14" xfId="0" applyNumberFormat="1" applyFont="1" applyFill="1" applyBorder="1" applyAlignment="1">
      <alignment vertical="center"/>
    </xf>
    <xf numFmtId="3" fontId="2" fillId="26" borderId="22" xfId="0" applyNumberFormat="1" applyFont="1" applyFill="1" applyBorder="1" applyAlignment="1">
      <alignment vertical="center"/>
    </xf>
    <xf numFmtId="4" fontId="2" fillId="26" borderId="31" xfId="0" applyNumberFormat="1" applyFont="1" applyFill="1" applyBorder="1" applyAlignment="1">
      <alignment vertical="center"/>
    </xf>
    <xf numFmtId="3" fontId="3" fillId="26" borderId="34" xfId="0" applyNumberFormat="1" applyFont="1" applyFill="1" applyBorder="1" applyAlignment="1">
      <alignment horizontal="center" vertical="center"/>
    </xf>
    <xf numFmtId="3" fontId="3" fillId="26" borderId="247" xfId="0" applyNumberFormat="1" applyFont="1" applyFill="1" applyBorder="1" applyAlignment="1">
      <alignment horizontal="center" vertical="center"/>
    </xf>
    <xf numFmtId="3" fontId="17" fillId="26" borderId="20" xfId="0" applyNumberFormat="1" applyFont="1" applyFill="1" applyBorder="1" applyAlignment="1">
      <alignment vertical="center"/>
    </xf>
    <xf numFmtId="3" fontId="3" fillId="26" borderId="21" xfId="0" applyNumberFormat="1" applyFont="1" applyFill="1" applyBorder="1" applyAlignment="1">
      <alignment vertical="center"/>
    </xf>
    <xf numFmtId="3" fontId="3" fillId="26" borderId="68" xfId="0" applyNumberFormat="1" applyFont="1" applyFill="1" applyBorder="1" applyAlignment="1">
      <alignment vertical="center"/>
    </xf>
    <xf numFmtId="4" fontId="3" fillId="26" borderId="73" xfId="0" applyNumberFormat="1" applyFont="1" applyFill="1" applyBorder="1" applyAlignment="1">
      <alignment vertical="center"/>
    </xf>
    <xf numFmtId="3" fontId="40" fillId="26" borderId="14" xfId="0" applyNumberFormat="1" applyFont="1" applyFill="1" applyBorder="1" applyAlignment="1">
      <alignment/>
    </xf>
    <xf numFmtId="3" fontId="2" fillId="26" borderId="22" xfId="0" applyNumberFormat="1" applyFont="1" applyFill="1" applyBorder="1" applyAlignment="1">
      <alignment/>
    </xf>
    <xf numFmtId="3" fontId="15" fillId="26" borderId="14" xfId="0" applyNumberFormat="1" applyFont="1" applyFill="1" applyBorder="1" applyAlignment="1">
      <alignment vertical="center"/>
    </xf>
    <xf numFmtId="3" fontId="17" fillId="26" borderId="14" xfId="0" applyNumberFormat="1" applyFont="1" applyFill="1" applyBorder="1" applyAlignment="1">
      <alignment vertical="center"/>
    </xf>
    <xf numFmtId="3" fontId="4" fillId="26" borderId="14" xfId="0" applyNumberFormat="1" applyFont="1" applyFill="1" applyBorder="1" applyAlignment="1">
      <alignment vertical="center"/>
    </xf>
    <xf numFmtId="3" fontId="2" fillId="26" borderId="17" xfId="0" applyNumberFormat="1" applyFont="1" applyFill="1" applyBorder="1" applyAlignment="1">
      <alignment vertical="center"/>
    </xf>
    <xf numFmtId="3" fontId="2" fillId="26" borderId="22" xfId="0" applyNumberFormat="1" applyFont="1" applyFill="1" applyBorder="1" applyAlignment="1">
      <alignment vertical="center"/>
    </xf>
    <xf numFmtId="4" fontId="2" fillId="26" borderId="31" xfId="0" applyNumberFormat="1" applyFont="1" applyFill="1" applyBorder="1" applyAlignment="1">
      <alignment vertical="center"/>
    </xf>
    <xf numFmtId="3" fontId="3" fillId="26" borderId="17" xfId="0" applyNumberFormat="1" applyFont="1" applyFill="1" applyBorder="1" applyAlignment="1">
      <alignment/>
    </xf>
    <xf numFmtId="3" fontId="3" fillId="26" borderId="17" xfId="0" applyNumberFormat="1" applyFont="1" applyFill="1" applyBorder="1" applyAlignment="1">
      <alignment horizontal="center" vertical="center"/>
    </xf>
    <xf numFmtId="3" fontId="3" fillId="26" borderId="14" xfId="0" applyNumberFormat="1" applyFont="1" applyFill="1" applyBorder="1" applyAlignment="1">
      <alignment vertical="center"/>
    </xf>
    <xf numFmtId="3" fontId="3" fillId="26" borderId="249" xfId="0" applyNumberFormat="1" applyFont="1" applyFill="1" applyBorder="1" applyAlignment="1">
      <alignment horizontal="center" vertical="center"/>
    </xf>
    <xf numFmtId="0" fontId="89" fillId="0" borderId="20" xfId="0" applyFont="1" applyBorder="1" applyAlignment="1">
      <alignment vertical="center"/>
    </xf>
    <xf numFmtId="3" fontId="3" fillId="26" borderId="252" xfId="0" applyNumberFormat="1" applyFont="1" applyFill="1" applyBorder="1" applyAlignment="1">
      <alignment vertical="center"/>
    </xf>
    <xf numFmtId="3" fontId="3" fillId="26" borderId="253" xfId="0" applyNumberFormat="1" applyFont="1" applyFill="1" applyBorder="1" applyAlignment="1">
      <alignment vertical="center"/>
    </xf>
    <xf numFmtId="4" fontId="3" fillId="26" borderId="254" xfId="0" applyNumberFormat="1" applyFont="1" applyFill="1" applyBorder="1" applyAlignment="1">
      <alignment vertical="center"/>
    </xf>
    <xf numFmtId="3" fontId="40" fillId="26" borderId="14" xfId="0" applyNumberFormat="1" applyFont="1" applyFill="1" applyBorder="1" applyAlignment="1">
      <alignment vertical="center"/>
    </xf>
    <xf numFmtId="0" fontId="40" fillId="26" borderId="14" xfId="0" applyFont="1" applyFill="1" applyBorder="1" applyAlignment="1">
      <alignment vertical="center" wrapText="1"/>
    </xf>
    <xf numFmtId="0" fontId="15" fillId="26" borderId="14" xfId="0" applyFont="1" applyFill="1" applyBorder="1" applyAlignment="1">
      <alignment vertical="center" wrapText="1"/>
    </xf>
    <xf numFmtId="3" fontId="3" fillId="26" borderId="17" xfId="0" applyNumberFormat="1" applyFont="1" applyFill="1" applyBorder="1" applyAlignment="1">
      <alignment horizontal="center"/>
    </xf>
    <xf numFmtId="3" fontId="3" fillId="26" borderId="14" xfId="0" applyNumberFormat="1" applyFont="1" applyFill="1" applyBorder="1" applyAlignment="1">
      <alignment/>
    </xf>
    <xf numFmtId="3" fontId="15" fillId="26" borderId="187" xfId="0" applyNumberFormat="1" applyFont="1" applyFill="1" applyBorder="1" applyAlignment="1">
      <alignment vertical="center"/>
    </xf>
    <xf numFmtId="3" fontId="3" fillId="26" borderId="21" xfId="0" applyNumberFormat="1" applyFont="1" applyFill="1" applyBorder="1" applyAlignment="1">
      <alignment vertical="center"/>
    </xf>
    <xf numFmtId="3" fontId="3" fillId="26" borderId="68" xfId="0" applyNumberFormat="1" applyFont="1" applyFill="1" applyBorder="1" applyAlignment="1">
      <alignment vertical="center"/>
    </xf>
    <xf numFmtId="4" fontId="3" fillId="26" borderId="73" xfId="0" applyNumberFormat="1" applyFont="1" applyFill="1" applyBorder="1" applyAlignment="1">
      <alignment vertical="center"/>
    </xf>
    <xf numFmtId="3" fontId="3" fillId="26" borderId="17" xfId="0" applyNumberFormat="1" applyFont="1" applyFill="1" applyBorder="1" applyAlignment="1">
      <alignment vertical="center"/>
    </xf>
    <xf numFmtId="3" fontId="3" fillId="26" borderId="22" xfId="0" applyNumberFormat="1" applyFont="1" applyFill="1" applyBorder="1" applyAlignment="1">
      <alignment vertical="center"/>
    </xf>
    <xf numFmtId="4" fontId="3" fillId="26" borderId="31" xfId="0" applyNumberFormat="1" applyFont="1" applyFill="1" applyBorder="1" applyAlignment="1">
      <alignment vertical="center"/>
    </xf>
    <xf numFmtId="3" fontId="15" fillId="26" borderId="21" xfId="0" applyNumberFormat="1" applyFont="1" applyFill="1" applyBorder="1" applyAlignment="1">
      <alignment horizontal="center" vertical="center"/>
    </xf>
    <xf numFmtId="3" fontId="15" fillId="26" borderId="20" xfId="0" applyNumberFormat="1" applyFont="1" applyFill="1" applyBorder="1" applyAlignment="1">
      <alignment vertical="center"/>
    </xf>
    <xf numFmtId="3" fontId="17" fillId="26" borderId="21" xfId="0" applyNumberFormat="1" applyFont="1" applyFill="1" applyBorder="1" applyAlignment="1">
      <alignment horizontal="center" vertical="center"/>
    </xf>
    <xf numFmtId="3" fontId="17" fillId="26" borderId="21" xfId="0" applyNumberFormat="1" applyFont="1" applyFill="1" applyBorder="1" applyAlignment="1">
      <alignment vertical="center"/>
    </xf>
    <xf numFmtId="3" fontId="17" fillId="26" borderId="68" xfId="0" applyNumberFormat="1" applyFont="1" applyFill="1" applyBorder="1" applyAlignment="1">
      <alignment vertical="center"/>
    </xf>
    <xf numFmtId="4" fontId="17" fillId="26" borderId="73" xfId="0" applyNumberFormat="1" applyFont="1" applyFill="1" applyBorder="1" applyAlignment="1">
      <alignment vertical="center"/>
    </xf>
    <xf numFmtId="3" fontId="3" fillId="26" borderId="31" xfId="0" applyNumberFormat="1" applyFont="1" applyFill="1" applyBorder="1" applyAlignment="1">
      <alignment vertical="center"/>
    </xf>
    <xf numFmtId="3" fontId="3" fillId="26" borderId="21" xfId="0" applyNumberFormat="1" applyFont="1" applyFill="1" applyBorder="1" applyAlignment="1">
      <alignment horizontal="center" vertical="center"/>
    </xf>
    <xf numFmtId="3" fontId="17" fillId="26" borderId="20" xfId="0" applyNumberFormat="1" applyFont="1" applyFill="1" applyBorder="1" applyAlignment="1">
      <alignment vertical="center"/>
    </xf>
    <xf numFmtId="3" fontId="17" fillId="26" borderId="21" xfId="0" applyNumberFormat="1" applyFont="1" applyFill="1" applyBorder="1" applyAlignment="1">
      <alignment vertical="center"/>
    </xf>
    <xf numFmtId="3" fontId="17" fillId="26" borderId="68" xfId="0" applyNumberFormat="1" applyFont="1" applyFill="1" applyBorder="1" applyAlignment="1">
      <alignment vertical="center"/>
    </xf>
    <xf numFmtId="3" fontId="25" fillId="26" borderId="0" xfId="0" applyNumberFormat="1" applyFont="1" applyFill="1" applyBorder="1" applyAlignment="1">
      <alignment/>
    </xf>
    <xf numFmtId="3" fontId="3" fillId="26" borderId="135" xfId="0" applyNumberFormat="1" applyFont="1" applyFill="1" applyBorder="1" applyAlignment="1">
      <alignment horizontal="center"/>
    </xf>
    <xf numFmtId="0" fontId="3" fillId="0" borderId="255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3" fontId="3" fillId="26" borderId="256" xfId="0" applyNumberFormat="1" applyFont="1" applyFill="1" applyBorder="1" applyAlignment="1">
      <alignment horizontal="center"/>
    </xf>
    <xf numFmtId="3" fontId="3" fillId="26" borderId="63" xfId="0" applyNumberFormat="1" applyFont="1" applyFill="1" applyBorder="1" applyAlignment="1">
      <alignment horizontal="center"/>
    </xf>
    <xf numFmtId="3" fontId="2" fillId="26" borderId="14" xfId="0" applyNumberFormat="1" applyFont="1" applyFill="1" applyBorder="1" applyAlignment="1">
      <alignment horizontal="center"/>
    </xf>
    <xf numFmtId="0" fontId="3" fillId="26" borderId="247" xfId="0" applyFont="1" applyFill="1" applyBorder="1" applyAlignment="1">
      <alignment horizontal="center"/>
    </xf>
    <xf numFmtId="3" fontId="3" fillId="26" borderId="257" xfId="0" applyNumberFormat="1" applyFont="1" applyFill="1" applyBorder="1" applyAlignment="1">
      <alignment horizontal="center"/>
    </xf>
    <xf numFmtId="3" fontId="3" fillId="0" borderId="208" xfId="0" applyNumberFormat="1" applyFont="1" applyFill="1" applyBorder="1" applyAlignment="1">
      <alignment horizontal="center"/>
    </xf>
    <xf numFmtId="0" fontId="3" fillId="26" borderId="252" xfId="0" applyFont="1" applyFill="1" applyBorder="1" applyAlignment="1">
      <alignment horizontal="center" vertical="center"/>
    </xf>
    <xf numFmtId="3" fontId="3" fillId="26" borderId="258" xfId="0" applyNumberFormat="1" applyFont="1" applyFill="1" applyBorder="1" applyAlignment="1">
      <alignment horizontal="center" vertical="center"/>
    </xf>
    <xf numFmtId="3" fontId="3" fillId="0" borderId="259" xfId="0" applyNumberFormat="1" applyFont="1" applyFill="1" applyBorder="1" applyAlignment="1">
      <alignment horizontal="center" vertical="center"/>
    </xf>
    <xf numFmtId="3" fontId="3" fillId="26" borderId="18" xfId="0" applyNumberFormat="1" applyFont="1" applyFill="1" applyBorder="1" applyAlignment="1">
      <alignment horizontal="center"/>
    </xf>
    <xf numFmtId="0" fontId="17" fillId="26" borderId="17" xfId="0" applyFont="1" applyFill="1" applyBorder="1" applyAlignment="1">
      <alignment wrapText="1"/>
    </xf>
    <xf numFmtId="3" fontId="40" fillId="26" borderId="17" xfId="0" applyNumberFormat="1" applyFont="1" applyFill="1" applyBorder="1" applyAlignment="1">
      <alignment/>
    </xf>
    <xf numFmtId="3" fontId="2" fillId="26" borderId="18" xfId="0" applyNumberFormat="1" applyFont="1" applyFill="1" applyBorder="1" applyAlignment="1">
      <alignment vertical="center"/>
    </xf>
    <xf numFmtId="3" fontId="15" fillId="26" borderId="17" xfId="0" applyNumberFormat="1" applyFont="1" applyFill="1" applyBorder="1" applyAlignment="1">
      <alignment vertical="center"/>
    </xf>
    <xf numFmtId="3" fontId="3" fillId="26" borderId="18" xfId="0" applyNumberFormat="1" applyFont="1" applyFill="1" applyBorder="1" applyAlignment="1">
      <alignment/>
    </xf>
    <xf numFmtId="3" fontId="15" fillId="26" borderId="17" xfId="0" applyNumberFormat="1" applyFont="1" applyFill="1" applyBorder="1" applyAlignment="1">
      <alignment/>
    </xf>
    <xf numFmtId="3" fontId="2" fillId="26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 vertical="center"/>
    </xf>
    <xf numFmtId="3" fontId="2" fillId="26" borderId="17" xfId="0" applyNumberFormat="1" applyFont="1" applyFill="1" applyBorder="1" applyAlignment="1">
      <alignment vertical="center"/>
    </xf>
    <xf numFmtId="3" fontId="17" fillId="26" borderId="249" xfId="0" applyNumberFormat="1" applyFont="1" applyFill="1" applyBorder="1" applyAlignment="1">
      <alignment vertical="center"/>
    </xf>
    <xf numFmtId="3" fontId="3" fillId="26" borderId="249" xfId="0" applyNumberFormat="1" applyFont="1" applyFill="1" applyBorder="1" applyAlignment="1">
      <alignment vertical="center"/>
    </xf>
    <xf numFmtId="3" fontId="3" fillId="26" borderId="71" xfId="0" applyNumberFormat="1" applyFont="1" applyFill="1" applyBorder="1" applyAlignment="1">
      <alignment vertical="center"/>
    </xf>
    <xf numFmtId="3" fontId="3" fillId="26" borderId="260" xfId="0" applyNumberFormat="1" applyFont="1" applyFill="1" applyBorder="1" applyAlignment="1">
      <alignment vertical="center"/>
    </xf>
    <xf numFmtId="4" fontId="3" fillId="26" borderId="75" xfId="0" applyNumberFormat="1" applyFont="1" applyFill="1" applyBorder="1" applyAlignment="1">
      <alignment vertical="center"/>
    </xf>
    <xf numFmtId="3" fontId="17" fillId="26" borderId="17" xfId="0" applyNumberFormat="1" applyFont="1" applyFill="1" applyBorder="1" applyAlignment="1">
      <alignment vertical="center"/>
    </xf>
    <xf numFmtId="3" fontId="3" fillId="26" borderId="31" xfId="0" applyNumberFormat="1" applyFont="1" applyFill="1" applyBorder="1" applyAlignment="1">
      <alignment vertical="center"/>
    </xf>
    <xf numFmtId="3" fontId="2" fillId="26" borderId="17" xfId="0" applyNumberFormat="1" applyFont="1" applyFill="1" applyBorder="1" applyAlignment="1">
      <alignment/>
    </xf>
    <xf numFmtId="3" fontId="2" fillId="26" borderId="18" xfId="0" applyNumberFormat="1" applyFont="1" applyFill="1" applyBorder="1" applyAlignment="1">
      <alignment/>
    </xf>
    <xf numFmtId="3" fontId="2" fillId="26" borderId="31" xfId="0" applyNumberFormat="1" applyFont="1" applyFill="1" applyBorder="1" applyAlignment="1">
      <alignment/>
    </xf>
    <xf numFmtId="3" fontId="15" fillId="26" borderId="17" xfId="0" applyNumberFormat="1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/>
    </xf>
    <xf numFmtId="3" fontId="2" fillId="26" borderId="18" xfId="0" applyNumberFormat="1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3" fillId="26" borderId="31" xfId="0" applyNumberFormat="1" applyFont="1" applyFill="1" applyBorder="1" applyAlignment="1">
      <alignment/>
    </xf>
    <xf numFmtId="0" fontId="89" fillId="0" borderId="21" xfId="0" applyFont="1" applyBorder="1" applyAlignment="1">
      <alignment vertical="center"/>
    </xf>
    <xf numFmtId="3" fontId="3" fillId="26" borderId="65" xfId="0" applyNumberFormat="1" applyFont="1" applyFill="1" applyBorder="1" applyAlignment="1">
      <alignment vertical="center"/>
    </xf>
    <xf numFmtId="0" fontId="89" fillId="0" borderId="17" xfId="0" applyFont="1" applyBorder="1" applyAlignment="1">
      <alignment vertical="center"/>
    </xf>
    <xf numFmtId="3" fontId="3" fillId="26" borderId="18" xfId="0" applyNumberFormat="1" applyFont="1" applyFill="1" applyBorder="1" applyAlignment="1">
      <alignment vertical="center"/>
    </xf>
    <xf numFmtId="0" fontId="15" fillId="26" borderId="17" xfId="0" applyFont="1" applyFill="1" applyBorder="1" applyAlignment="1">
      <alignment vertical="center" wrapText="1"/>
    </xf>
    <xf numFmtId="3" fontId="15" fillId="26" borderId="21" xfId="0" applyNumberFormat="1" applyFont="1" applyFill="1" applyBorder="1" applyAlignment="1">
      <alignment vertical="center"/>
    </xf>
    <xf numFmtId="4" fontId="3" fillId="26" borderId="143" xfId="0" applyNumberFormat="1" applyFont="1" applyFill="1" applyBorder="1" applyAlignment="1">
      <alignment vertical="center"/>
    </xf>
    <xf numFmtId="4" fontId="3" fillId="26" borderId="24" xfId="0" applyNumberFormat="1" applyFont="1" applyFill="1" applyBorder="1" applyAlignment="1">
      <alignment vertical="center"/>
    </xf>
    <xf numFmtId="3" fontId="2" fillId="26" borderId="28" xfId="0" applyNumberFormat="1" applyFont="1" applyFill="1" applyBorder="1" applyAlignment="1">
      <alignment vertical="center"/>
    </xf>
    <xf numFmtId="3" fontId="15" fillId="26" borderId="21" xfId="0" applyNumberFormat="1" applyFont="1" applyFill="1" applyBorder="1" applyAlignment="1">
      <alignment vertical="center"/>
    </xf>
    <xf numFmtId="3" fontId="3" fillId="26" borderId="65" xfId="0" applyNumberFormat="1" applyFont="1" applyFill="1" applyBorder="1" applyAlignment="1">
      <alignment vertical="center"/>
    </xf>
    <xf numFmtId="3" fontId="3" fillId="26" borderId="28" xfId="0" applyNumberFormat="1" applyFont="1" applyFill="1" applyBorder="1" applyAlignment="1">
      <alignment vertical="center"/>
    </xf>
    <xf numFmtId="3" fontId="17" fillId="26" borderId="65" xfId="0" applyNumberFormat="1" applyFont="1" applyFill="1" applyBorder="1" applyAlignment="1">
      <alignment vertical="center"/>
    </xf>
    <xf numFmtId="3" fontId="40" fillId="26" borderId="17" xfId="0" applyNumberFormat="1" applyFont="1" applyFill="1" applyBorder="1" applyAlignment="1">
      <alignment vertical="center"/>
    </xf>
    <xf numFmtId="0" fontId="40" fillId="25" borderId="18" xfId="0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0" fontId="15" fillId="25" borderId="78" xfId="0" applyFont="1" applyFill="1" applyBorder="1" applyAlignment="1">
      <alignment horizontal="center" vertical="center"/>
    </xf>
    <xf numFmtId="0" fontId="2" fillId="0" borderId="261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3" fontId="17" fillId="0" borderId="229" xfId="0" applyNumberFormat="1" applyFont="1" applyFill="1" applyBorder="1" applyAlignment="1">
      <alignment vertical="center"/>
    </xf>
    <xf numFmtId="3" fontId="17" fillId="0" borderId="69" xfId="0" applyNumberFormat="1" applyFont="1" applyFill="1" applyBorder="1" applyAlignment="1">
      <alignment vertical="center"/>
    </xf>
    <xf numFmtId="3" fontId="17" fillId="0" borderId="71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Continuous"/>
    </xf>
    <xf numFmtId="0" fontId="2" fillId="0" borderId="27" xfId="0" applyNumberFormat="1" applyFont="1" applyFill="1" applyBorder="1" applyAlignment="1">
      <alignment horizontal="centerContinuous"/>
    </xf>
    <xf numFmtId="0" fontId="3" fillId="0" borderId="118" xfId="0" applyFont="1" applyFill="1" applyBorder="1" applyAlignment="1" applyProtection="1">
      <alignment horizontal="center" vertical="center"/>
      <protection/>
    </xf>
    <xf numFmtId="0" fontId="3" fillId="0" borderId="118" xfId="0" applyFont="1" applyFill="1" applyBorder="1" applyAlignment="1" applyProtection="1">
      <alignment vertical="center"/>
      <protection/>
    </xf>
    <xf numFmtId="49" fontId="3" fillId="26" borderId="121" xfId="0" applyNumberFormat="1" applyFont="1" applyFill="1" applyBorder="1" applyAlignment="1" applyProtection="1">
      <alignment horizontal="center" vertical="center"/>
      <protection/>
    </xf>
    <xf numFmtId="0" fontId="2" fillId="26" borderId="121" xfId="0" applyFont="1" applyFill="1" applyBorder="1" applyAlignment="1" applyProtection="1">
      <alignment vertical="center"/>
      <protection/>
    </xf>
    <xf numFmtId="0" fontId="29" fillId="0" borderId="246" xfId="0" applyFont="1" applyFill="1" applyBorder="1" applyAlignment="1">
      <alignment horizontal="center"/>
    </xf>
    <xf numFmtId="0" fontId="3" fillId="26" borderId="262" xfId="0" applyFont="1" applyFill="1" applyBorder="1" applyAlignment="1" applyProtection="1">
      <alignment horizontal="left" vertical="center"/>
      <protection/>
    </xf>
    <xf numFmtId="0" fontId="3" fillId="26" borderId="262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26" borderId="17" xfId="0" applyFont="1" applyFill="1" applyBorder="1" applyAlignment="1" applyProtection="1">
      <alignment vertical="center"/>
      <protection/>
    </xf>
    <xf numFmtId="0" fontId="3" fillId="26" borderId="262" xfId="0" applyFont="1" applyFill="1" applyBorder="1" applyAlignment="1" applyProtection="1">
      <alignment vertical="center"/>
      <protection/>
    </xf>
    <xf numFmtId="0" fontId="2" fillId="26" borderId="262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3" fillId="0" borderId="236" xfId="0" applyFont="1" applyFill="1" applyBorder="1" applyAlignment="1">
      <alignment horizontal="left" vertical="center"/>
    </xf>
    <xf numFmtId="0" fontId="3" fillId="26" borderId="236" xfId="0" applyFont="1" applyFill="1" applyBorder="1" applyAlignment="1" applyProtection="1">
      <alignment vertical="center"/>
      <protection/>
    </xf>
    <xf numFmtId="0" fontId="2" fillId="26" borderId="63" xfId="0" applyFont="1" applyFill="1" applyBorder="1" applyAlignment="1" applyProtection="1">
      <alignment vertical="center"/>
      <protection/>
    </xf>
    <xf numFmtId="0" fontId="5" fillId="26" borderId="63" xfId="0" applyFont="1" applyFill="1" applyBorder="1" applyAlignment="1" applyProtection="1">
      <alignment vertical="center"/>
      <protection/>
    </xf>
    <xf numFmtId="0" fontId="2" fillId="26" borderId="263" xfId="0" applyFont="1" applyFill="1" applyBorder="1" applyAlignment="1" applyProtection="1">
      <alignment vertical="center"/>
      <protection/>
    </xf>
    <xf numFmtId="0" fontId="2" fillId="26" borderId="17" xfId="0" applyFont="1" applyFill="1" applyBorder="1" applyAlignment="1">
      <alignment vertical="center"/>
    </xf>
    <xf numFmtId="0" fontId="5" fillId="26" borderId="17" xfId="0" applyFont="1" applyFill="1" applyBorder="1" applyAlignment="1" applyProtection="1">
      <alignment vertical="center"/>
      <protection/>
    </xf>
    <xf numFmtId="0" fontId="45" fillId="26" borderId="17" xfId="0" applyFont="1" applyFill="1" applyBorder="1" applyAlignment="1" applyProtection="1">
      <alignment vertical="center"/>
      <protection/>
    </xf>
    <xf numFmtId="0" fontId="3" fillId="26" borderId="264" xfId="0" applyFont="1" applyFill="1" applyBorder="1" applyAlignment="1" applyProtection="1">
      <alignment vertical="center"/>
      <protection/>
    </xf>
    <xf numFmtId="3" fontId="17" fillId="26" borderId="262" xfId="0" applyNumberFormat="1" applyFont="1" applyFill="1" applyBorder="1" applyAlignment="1">
      <alignment vertical="center"/>
    </xf>
    <xf numFmtId="0" fontId="3" fillId="26" borderId="265" xfId="0" applyFont="1" applyFill="1" applyBorder="1" applyAlignment="1" applyProtection="1">
      <alignment vertical="center"/>
      <protection/>
    </xf>
    <xf numFmtId="0" fontId="3" fillId="26" borderId="264" xfId="0" applyFont="1" applyFill="1" applyBorder="1" applyAlignment="1" applyProtection="1">
      <alignment vertical="center"/>
      <protection/>
    </xf>
    <xf numFmtId="0" fontId="6" fillId="26" borderId="264" xfId="0" applyFont="1" applyFill="1" applyBorder="1" applyAlignment="1" applyProtection="1">
      <alignment vertical="center"/>
      <protection/>
    </xf>
    <xf numFmtId="0" fontId="3" fillId="26" borderId="249" xfId="0" applyFont="1" applyFill="1" applyBorder="1" applyAlignment="1">
      <alignment vertical="center"/>
    </xf>
    <xf numFmtId="3" fontId="17" fillId="26" borderId="249" xfId="0" applyNumberFormat="1" applyFont="1" applyFill="1" applyBorder="1" applyAlignment="1">
      <alignment vertical="center"/>
    </xf>
    <xf numFmtId="3" fontId="2" fillId="0" borderId="266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 hidden="1"/>
    </xf>
    <xf numFmtId="3" fontId="5" fillId="0" borderId="266" xfId="0" applyNumberFormat="1" applyFont="1" applyFill="1" applyBorder="1" applyAlignment="1" applyProtection="1">
      <alignment vertical="center"/>
      <protection/>
    </xf>
    <xf numFmtId="3" fontId="2" fillId="0" borderId="127" xfId="0" applyNumberFormat="1" applyFont="1" applyFill="1" applyBorder="1" applyAlignment="1" applyProtection="1">
      <alignment vertical="center"/>
      <protection hidden="1"/>
    </xf>
    <xf numFmtId="4" fontId="25" fillId="0" borderId="1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2" fillId="0" borderId="24" xfId="0" applyNumberFormat="1" applyFont="1" applyFill="1" applyBorder="1" applyAlignment="1">
      <alignment vertical="center"/>
    </xf>
    <xf numFmtId="3" fontId="40" fillId="0" borderId="60" xfId="0" applyNumberFormat="1" applyFont="1" applyFill="1" applyBorder="1" applyAlignment="1">
      <alignment vertical="center"/>
    </xf>
    <xf numFmtId="3" fontId="40" fillId="0" borderId="3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2" fillId="34" borderId="22" xfId="0" applyNumberFormat="1" applyFont="1" applyFill="1" applyBorder="1" applyAlignment="1" applyProtection="1">
      <alignment vertical="center"/>
      <protection/>
    </xf>
    <xf numFmtId="3" fontId="2" fillId="34" borderId="31" xfId="0" applyNumberFormat="1" applyFont="1" applyFill="1" applyBorder="1" applyAlignment="1" applyProtection="1">
      <alignment vertical="center"/>
      <protection/>
    </xf>
    <xf numFmtId="0" fontId="2" fillId="0" borderId="150" xfId="58" applyFont="1" applyFill="1" applyBorder="1" applyAlignment="1">
      <alignment horizontal="center" vertical="center"/>
      <protection/>
    </xf>
    <xf numFmtId="0" fontId="2" fillId="0" borderId="26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7" fontId="40" fillId="31" borderId="16" xfId="0" applyNumberFormat="1" applyFont="1" applyFill="1" applyBorder="1" applyAlignment="1" applyProtection="1">
      <alignment vertical="center"/>
      <protection hidden="1"/>
    </xf>
    <xf numFmtId="3" fontId="66" fillId="0" borderId="13" xfId="0" applyNumberFormat="1" applyFont="1" applyFill="1" applyBorder="1" applyAlignment="1">
      <alignment horizontal="left"/>
    </xf>
    <xf numFmtId="3" fontId="66" fillId="0" borderId="18" xfId="0" applyNumberFormat="1" applyFont="1" applyFill="1" applyBorder="1" applyAlignment="1">
      <alignment horizontal="left"/>
    </xf>
    <xf numFmtId="3" fontId="66" fillId="0" borderId="15" xfId="0" applyNumberFormat="1" applyFont="1" applyBorder="1" applyAlignment="1">
      <alignment/>
    </xf>
    <xf numFmtId="3" fontId="66" fillId="0" borderId="51" xfId="0" applyNumberFormat="1" applyFont="1" applyBorder="1" applyAlignment="1">
      <alignment/>
    </xf>
    <xf numFmtId="3" fontId="66" fillId="0" borderId="22" xfId="0" applyNumberFormat="1" applyFont="1" applyFill="1" applyBorder="1" applyAlignment="1">
      <alignment horizontal="left"/>
    </xf>
    <xf numFmtId="3" fontId="66" fillId="0" borderId="38" xfId="0" applyNumberFormat="1" applyFont="1" applyBorder="1" applyAlignment="1">
      <alignment/>
    </xf>
    <xf numFmtId="3" fontId="93" fillId="0" borderId="0" xfId="0" applyNumberFormat="1" applyFont="1" applyBorder="1" applyAlignment="1">
      <alignment/>
    </xf>
    <xf numFmtId="3" fontId="66" fillId="0" borderId="44" xfId="0" applyNumberFormat="1" applyFont="1" applyFill="1" applyBorder="1" applyAlignment="1">
      <alignment/>
    </xf>
    <xf numFmtId="3" fontId="66" fillId="0" borderId="44" xfId="0" applyNumberFormat="1" applyFont="1" applyBorder="1" applyAlignment="1">
      <alignment/>
    </xf>
    <xf numFmtId="0" fontId="11" fillId="0" borderId="0" xfId="0" applyFont="1" applyFill="1" applyAlignment="1">
      <alignment horizontal="right"/>
    </xf>
    <xf numFmtId="0" fontId="66" fillId="0" borderId="50" xfId="0" applyFont="1" applyBorder="1" applyAlignment="1">
      <alignment horizontal="center" vertical="center"/>
    </xf>
    <xf numFmtId="0" fontId="29" fillId="0" borderId="57" xfId="0" applyFont="1" applyBorder="1" applyAlignment="1">
      <alignment vertical="center"/>
    </xf>
    <xf numFmtId="3" fontId="66" fillId="0" borderId="50" xfId="0" applyNumberFormat="1" applyFont="1" applyBorder="1" applyAlignment="1">
      <alignment vertical="center"/>
    </xf>
    <xf numFmtId="3" fontId="66" fillId="0" borderId="29" xfId="0" applyNumberFormat="1" applyFont="1" applyBorder="1" applyAlignment="1">
      <alignment vertical="center"/>
    </xf>
    <xf numFmtId="3" fontId="66" fillId="0" borderId="41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57" xfId="0" applyNumberFormat="1" applyFont="1" applyBorder="1" applyAlignment="1">
      <alignment horizontal="right" vertical="center"/>
    </xf>
    <xf numFmtId="3" fontId="66" fillId="0" borderId="55" xfId="0" applyNumberFormat="1" applyFont="1" applyBorder="1" applyAlignment="1">
      <alignment horizontal="right" vertical="center"/>
    </xf>
    <xf numFmtId="3" fontId="79" fillId="0" borderId="57" xfId="0" applyNumberFormat="1" applyFont="1" applyBorder="1" applyAlignment="1">
      <alignment horizontal="right" vertical="center"/>
    </xf>
    <xf numFmtId="3" fontId="79" fillId="0" borderId="41" xfId="0" applyNumberFormat="1" applyFont="1" applyBorder="1" applyAlignment="1">
      <alignment horizontal="right" vertical="center"/>
    </xf>
    <xf numFmtId="3" fontId="79" fillId="0" borderId="55" xfId="0" applyNumberFormat="1" applyFont="1" applyBorder="1" applyAlignment="1">
      <alignment horizontal="right" vertical="center"/>
    </xf>
    <xf numFmtId="164" fontId="66" fillId="0" borderId="55" xfId="0" applyNumberFormat="1" applyFont="1" applyBorder="1" applyAlignment="1">
      <alignment horizontal="right" vertical="center"/>
    </xf>
    <xf numFmtId="3" fontId="66" fillId="0" borderId="140" xfId="0" applyNumberFormat="1" applyFont="1" applyBorder="1" applyAlignment="1">
      <alignment horizontal="right" vertical="center"/>
    </xf>
    <xf numFmtId="0" fontId="79" fillId="0" borderId="50" xfId="0" applyFont="1" applyBorder="1" applyAlignment="1">
      <alignment vertical="center"/>
    </xf>
    <xf numFmtId="0" fontId="79" fillId="0" borderId="57" xfId="0" applyFont="1" applyFill="1" applyBorder="1" applyAlignment="1">
      <alignment vertical="center"/>
    </xf>
    <xf numFmtId="3" fontId="79" fillId="0" borderId="50" xfId="0" applyNumberFormat="1" applyFont="1" applyFill="1" applyBorder="1" applyAlignment="1">
      <alignment vertical="center"/>
    </xf>
    <xf numFmtId="3" fontId="79" fillId="0" borderId="57" xfId="0" applyNumberFormat="1" applyFont="1" applyFill="1" applyBorder="1" applyAlignment="1">
      <alignment vertical="center"/>
    </xf>
    <xf numFmtId="3" fontId="79" fillId="0" borderId="23" xfId="0" applyNumberFormat="1" applyFont="1" applyBorder="1" applyAlignment="1">
      <alignment vertical="center"/>
    </xf>
    <xf numFmtId="3" fontId="79" fillId="0" borderId="29" xfId="0" applyNumberFormat="1" applyFont="1" applyBorder="1" applyAlignment="1">
      <alignment vertical="center"/>
    </xf>
    <xf numFmtId="3" fontId="79" fillId="0" borderId="55" xfId="0" applyNumberFormat="1" applyFont="1" applyBorder="1" applyAlignment="1">
      <alignment vertical="center"/>
    </xf>
    <xf numFmtId="3" fontId="79" fillId="0" borderId="41" xfId="0" applyNumberFormat="1" applyFont="1" applyBorder="1" applyAlignment="1">
      <alignment vertical="center"/>
    </xf>
    <xf numFmtId="0" fontId="79" fillId="0" borderId="55" xfId="0" applyFont="1" applyBorder="1" applyAlignment="1">
      <alignment vertical="center"/>
    </xf>
    <xf numFmtId="0" fontId="79" fillId="0" borderId="140" xfId="0" applyFont="1" applyBorder="1" applyAlignment="1">
      <alignment vertical="center"/>
    </xf>
    <xf numFmtId="3" fontId="79" fillId="0" borderId="23" xfId="0" applyNumberFormat="1" applyFont="1" applyBorder="1" applyAlignment="1">
      <alignment horizontal="right" vertical="center"/>
    </xf>
    <xf numFmtId="3" fontId="79" fillId="0" borderId="29" xfId="0" applyNumberFormat="1" applyFont="1" applyBorder="1" applyAlignment="1">
      <alignment horizontal="right" vertical="center"/>
    </xf>
    <xf numFmtId="164" fontId="79" fillId="0" borderId="55" xfId="0" applyNumberFormat="1" applyFont="1" applyBorder="1" applyAlignment="1">
      <alignment horizontal="right" vertical="center"/>
    </xf>
    <xf numFmtId="3" fontId="79" fillId="0" borderId="140" xfId="0" applyNumberFormat="1" applyFont="1" applyBorder="1" applyAlignment="1">
      <alignment horizontal="right" vertical="center"/>
    </xf>
    <xf numFmtId="0" fontId="79" fillId="0" borderId="57" xfId="0" applyFont="1" applyBorder="1" applyAlignment="1">
      <alignment vertical="center"/>
    </xf>
    <xf numFmtId="3" fontId="79" fillId="0" borderId="50" xfId="0" applyNumberFormat="1" applyFont="1" applyBorder="1" applyAlignment="1">
      <alignment vertical="center"/>
    </xf>
    <xf numFmtId="3" fontId="79" fillId="0" borderId="57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18" xfId="0" applyFont="1" applyBorder="1" applyAlignment="1">
      <alignment vertical="center"/>
    </xf>
    <xf numFmtId="3" fontId="79" fillId="0" borderId="13" xfId="0" applyNumberFormat="1" applyFont="1" applyBorder="1" applyAlignment="1">
      <alignment vertical="center"/>
    </xf>
    <xf numFmtId="3" fontId="79" fillId="0" borderId="18" xfId="0" applyNumberFormat="1" applyFont="1" applyBorder="1" applyAlignment="1">
      <alignment vertical="center"/>
    </xf>
    <xf numFmtId="3" fontId="79" fillId="0" borderId="31" xfId="0" applyNumberFormat="1" applyFont="1" applyBorder="1" applyAlignment="1">
      <alignment horizontal="right" vertical="center"/>
    </xf>
    <xf numFmtId="3" fontId="79" fillId="0" borderId="0" xfId="0" applyNumberFormat="1" applyFont="1" applyBorder="1" applyAlignment="1">
      <alignment horizontal="right" vertical="center"/>
    </xf>
    <xf numFmtId="3" fontId="79" fillId="0" borderId="17" xfId="0" applyNumberFormat="1" applyFont="1" applyBorder="1" applyAlignment="1">
      <alignment horizontal="right" vertical="center"/>
    </xf>
    <xf numFmtId="3" fontId="79" fillId="0" borderId="24" xfId="0" applyNumberFormat="1" applyFont="1" applyBorder="1" applyAlignment="1">
      <alignment horizontal="right" vertical="center"/>
    </xf>
    <xf numFmtId="164" fontId="79" fillId="0" borderId="17" xfId="0" applyNumberFormat="1" applyFont="1" applyBorder="1" applyAlignment="1">
      <alignment horizontal="right" vertical="center"/>
    </xf>
    <xf numFmtId="3" fontId="66" fillId="0" borderId="0" xfId="0" applyNumberFormat="1" applyFont="1" applyBorder="1" applyAlignment="1">
      <alignment vertical="center"/>
    </xf>
    <xf numFmtId="3" fontId="66" fillId="0" borderId="17" xfId="0" applyNumberFormat="1" applyFont="1" applyBorder="1" applyAlignment="1">
      <alignment vertical="center"/>
    </xf>
    <xf numFmtId="3" fontId="66" fillId="0" borderId="24" xfId="0" applyNumberFormat="1" applyFont="1" applyBorder="1" applyAlignment="1">
      <alignment vertical="center"/>
    </xf>
    <xf numFmtId="164" fontId="66" fillId="0" borderId="17" xfId="0" applyNumberFormat="1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80" fillId="0" borderId="18" xfId="0" applyFont="1" applyBorder="1" applyAlignment="1">
      <alignment vertical="center"/>
    </xf>
    <xf numFmtId="3" fontId="80" fillId="0" borderId="13" xfId="0" applyNumberFormat="1" applyFont="1" applyBorder="1" applyAlignment="1">
      <alignment vertical="center"/>
    </xf>
    <xf numFmtId="3" fontId="80" fillId="0" borderId="18" xfId="0" applyNumberFormat="1" applyFont="1" applyBorder="1" applyAlignment="1">
      <alignment vertical="center"/>
    </xf>
    <xf numFmtId="3" fontId="66" fillId="0" borderId="31" xfId="0" applyNumberFormat="1" applyFont="1" applyBorder="1" applyAlignment="1">
      <alignment horizontal="right" vertical="center"/>
    </xf>
    <xf numFmtId="0" fontId="79" fillId="0" borderId="78" xfId="0" applyFont="1" applyBorder="1" applyAlignment="1">
      <alignment vertical="center"/>
    </xf>
    <xf numFmtId="0" fontId="79" fillId="0" borderId="268" xfId="0" applyFont="1" applyBorder="1" applyAlignment="1">
      <alignment vertical="center"/>
    </xf>
    <xf numFmtId="3" fontId="79" fillId="0" borderId="78" xfId="0" applyNumberFormat="1" applyFont="1" applyBorder="1" applyAlignment="1">
      <alignment vertical="center"/>
    </xf>
    <xf numFmtId="3" fontId="79" fillId="0" borderId="268" xfId="0" applyNumberFormat="1" applyFont="1" applyBorder="1" applyAlignment="1">
      <alignment vertical="center"/>
    </xf>
    <xf numFmtId="3" fontId="79" fillId="0" borderId="79" xfId="0" applyNumberFormat="1" applyFont="1" applyBorder="1" applyAlignment="1">
      <alignment horizontal="right" vertical="center"/>
    </xf>
    <xf numFmtId="3" fontId="79" fillId="0" borderId="269" xfId="0" applyNumberFormat="1" applyFont="1" applyBorder="1" applyAlignment="1">
      <alignment horizontal="right" vertical="center"/>
    </xf>
    <xf numFmtId="3" fontId="79" fillId="0" borderId="268" xfId="0" applyNumberFormat="1" applyFont="1" applyBorder="1" applyAlignment="1">
      <alignment horizontal="right" vertical="center"/>
    </xf>
    <xf numFmtId="3" fontId="79" fillId="0" borderId="270" xfId="0" applyNumberFormat="1" applyFont="1" applyFill="1" applyBorder="1" applyAlignment="1">
      <alignment horizontal="right" vertical="center"/>
    </xf>
    <xf numFmtId="3" fontId="79" fillId="0" borderId="268" xfId="0" applyNumberFormat="1" applyFont="1" applyFill="1" applyBorder="1" applyAlignment="1">
      <alignment horizontal="right" vertical="center"/>
    </xf>
    <xf numFmtId="3" fontId="79" fillId="0" borderId="270" xfId="0" applyNumberFormat="1" applyFont="1" applyBorder="1" applyAlignment="1">
      <alignment horizontal="right" vertical="center"/>
    </xf>
    <xf numFmtId="164" fontId="79" fillId="0" borderId="270" xfId="0" applyNumberFormat="1" applyFont="1" applyBorder="1" applyAlignment="1">
      <alignment horizontal="right" vertical="center"/>
    </xf>
    <xf numFmtId="3" fontId="79" fillId="0" borderId="22" xfId="0" applyNumberFormat="1" applyFont="1" applyBorder="1" applyAlignment="1">
      <alignment vertical="center"/>
    </xf>
    <xf numFmtId="3" fontId="66" fillId="0" borderId="77" xfId="0" applyNumberFormat="1" applyFont="1" applyBorder="1" applyAlignment="1">
      <alignment horizontal="right" vertical="center"/>
    </xf>
    <xf numFmtId="3" fontId="66" fillId="0" borderId="29" xfId="0" applyNumberFormat="1" applyFont="1" applyBorder="1" applyAlignment="1">
      <alignment horizontal="right" vertical="center"/>
    </xf>
    <xf numFmtId="3" fontId="80" fillId="0" borderId="22" xfId="0" applyNumberFormat="1" applyFont="1" applyBorder="1" applyAlignment="1">
      <alignment vertical="center"/>
    </xf>
    <xf numFmtId="0" fontId="80" fillId="0" borderId="18" xfId="0" applyFont="1" applyBorder="1" applyAlignment="1">
      <alignment vertical="center" wrapText="1"/>
    </xf>
    <xf numFmtId="3" fontId="80" fillId="0" borderId="13" xfId="0" applyNumberFormat="1" applyFont="1" applyBorder="1" applyAlignment="1">
      <alignment vertical="center" wrapText="1"/>
    </xf>
    <xf numFmtId="3" fontId="80" fillId="0" borderId="22" xfId="0" applyNumberFormat="1" applyFont="1" applyBorder="1" applyAlignment="1">
      <alignment vertical="center" wrapText="1"/>
    </xf>
    <xf numFmtId="0" fontId="79" fillId="0" borderId="87" xfId="0" applyFont="1" applyBorder="1" applyAlignment="1">
      <alignment vertical="center"/>
    </xf>
    <xf numFmtId="0" fontId="79" fillId="0" borderId="65" xfId="0" applyFont="1" applyBorder="1" applyAlignment="1">
      <alignment vertical="center"/>
    </xf>
    <xf numFmtId="3" fontId="79" fillId="0" borderId="87" xfId="0" applyNumberFormat="1" applyFont="1" applyBorder="1" applyAlignment="1">
      <alignment vertical="center"/>
    </xf>
    <xf numFmtId="3" fontId="79" fillId="0" borderId="68" xfId="0" applyNumberFormat="1" applyFont="1" applyBorder="1" applyAlignment="1">
      <alignment vertical="center"/>
    </xf>
    <xf numFmtId="3" fontId="79" fillId="0" borderId="73" xfId="0" applyNumberFormat="1" applyFont="1" applyBorder="1" applyAlignment="1">
      <alignment horizontal="right" vertical="center"/>
    </xf>
    <xf numFmtId="3" fontId="79" fillId="0" borderId="40" xfId="0" applyNumberFormat="1" applyFont="1" applyBorder="1" applyAlignment="1">
      <alignment horizontal="right" vertical="center"/>
    </xf>
    <xf numFmtId="3" fontId="79" fillId="0" borderId="68" xfId="0" applyNumberFormat="1" applyFont="1" applyBorder="1" applyAlignment="1">
      <alignment horizontal="right" vertical="center"/>
    </xf>
    <xf numFmtId="3" fontId="79" fillId="0" borderId="21" xfId="0" applyNumberFormat="1" applyFont="1" applyBorder="1" applyAlignment="1">
      <alignment horizontal="right" vertical="center"/>
    </xf>
    <xf numFmtId="3" fontId="79" fillId="0" borderId="68" xfId="0" applyNumberFormat="1" applyFont="1" applyFill="1" applyBorder="1" applyAlignment="1">
      <alignment horizontal="right" vertical="center"/>
    </xf>
    <xf numFmtId="0" fontId="32" fillId="0" borderId="55" xfId="0" applyFont="1" applyBorder="1" applyAlignment="1">
      <alignment vertical="center"/>
    </xf>
    <xf numFmtId="0" fontId="79" fillId="0" borderId="41" xfId="0" applyFont="1" applyFill="1" applyBorder="1" applyAlignment="1">
      <alignment vertical="center"/>
    </xf>
    <xf numFmtId="3" fontId="32" fillId="0" borderId="77" xfId="0" applyNumberFormat="1" applyFont="1" applyBorder="1" applyAlignment="1">
      <alignment horizontal="right" vertical="center"/>
    </xf>
    <xf numFmtId="3" fontId="32" fillId="0" borderId="29" xfId="0" applyNumberFormat="1" applyFont="1" applyBorder="1" applyAlignment="1">
      <alignment horizontal="right" vertical="center"/>
    </xf>
    <xf numFmtId="3" fontId="32" fillId="0" borderId="57" xfId="0" applyNumberFormat="1" applyFont="1" applyBorder="1" applyAlignment="1">
      <alignment horizontal="right" vertical="center"/>
    </xf>
    <xf numFmtId="3" fontId="32" fillId="0" borderId="55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right" vertical="center"/>
    </xf>
    <xf numFmtId="3" fontId="32" fillId="0" borderId="50" xfId="0" applyNumberFormat="1" applyFont="1" applyBorder="1" applyAlignment="1">
      <alignment horizontal="right" vertical="center"/>
    </xf>
    <xf numFmtId="3" fontId="32" fillId="0" borderId="23" xfId="0" applyNumberFormat="1" applyFont="1" applyBorder="1" applyAlignment="1">
      <alignment horizontal="right" vertical="center"/>
    </xf>
    <xf numFmtId="3" fontId="32" fillId="0" borderId="77" xfId="0" applyNumberFormat="1" applyFont="1" applyBorder="1" applyAlignment="1">
      <alignment vertical="center"/>
    </xf>
    <xf numFmtId="3" fontId="32" fillId="0" borderId="29" xfId="0" applyNumberFormat="1" applyFont="1" applyBorder="1" applyAlignment="1">
      <alignment vertical="center"/>
    </xf>
    <xf numFmtId="3" fontId="32" fillId="0" borderId="57" xfId="0" applyNumberFormat="1" applyFont="1" applyBorder="1" applyAlignment="1">
      <alignment vertical="center"/>
    </xf>
    <xf numFmtId="3" fontId="32" fillId="0" borderId="55" xfId="0" applyNumberFormat="1" applyFont="1" applyBorder="1" applyAlignment="1">
      <alignment vertical="center"/>
    </xf>
    <xf numFmtId="3" fontId="32" fillId="0" borderId="41" xfId="0" applyNumberFormat="1" applyFont="1" applyBorder="1" applyAlignment="1">
      <alignment vertical="center"/>
    </xf>
    <xf numFmtId="3" fontId="32" fillId="0" borderId="50" xfId="0" applyNumberFormat="1" applyFont="1" applyBorder="1" applyAlignment="1">
      <alignment vertical="center"/>
    </xf>
    <xf numFmtId="3" fontId="32" fillId="0" borderId="23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2" fillId="0" borderId="73" xfId="0" applyFont="1" applyBorder="1" applyAlignment="1">
      <alignment vertical="center"/>
    </xf>
    <xf numFmtId="3" fontId="32" fillId="0" borderId="88" xfId="0" applyNumberFormat="1" applyFont="1" applyBorder="1" applyAlignment="1">
      <alignment vertical="center"/>
    </xf>
    <xf numFmtId="3" fontId="32" fillId="0" borderId="40" xfId="0" applyNumberFormat="1" applyFont="1" applyBorder="1" applyAlignment="1">
      <alignment vertical="center"/>
    </xf>
    <xf numFmtId="3" fontId="32" fillId="0" borderId="87" xfId="0" applyNumberFormat="1" applyFont="1" applyBorder="1" applyAlignment="1">
      <alignment vertical="center"/>
    </xf>
    <xf numFmtId="3" fontId="32" fillId="0" borderId="73" xfId="0" applyNumberFormat="1" applyFont="1" applyBorder="1" applyAlignment="1">
      <alignment vertical="center"/>
    </xf>
    <xf numFmtId="3" fontId="32" fillId="0" borderId="68" xfId="0" applyNumberFormat="1" applyFont="1" applyBorder="1" applyAlignment="1">
      <alignment vertical="center"/>
    </xf>
    <xf numFmtId="3" fontId="32" fillId="0" borderId="65" xfId="0" applyNumberFormat="1" applyFont="1" applyBorder="1" applyAlignment="1">
      <alignment vertical="center"/>
    </xf>
    <xf numFmtId="3" fontId="79" fillId="0" borderId="270" xfId="0" applyNumberFormat="1" applyFont="1" applyBorder="1" applyAlignment="1">
      <alignment vertical="center"/>
    </xf>
    <xf numFmtId="3" fontId="79" fillId="0" borderId="76" xfId="0" applyNumberFormat="1" applyFont="1" applyBorder="1" applyAlignment="1">
      <alignment vertical="center"/>
    </xf>
    <xf numFmtId="0" fontId="79" fillId="0" borderId="73" xfId="0" applyFont="1" applyBorder="1" applyAlignment="1">
      <alignment vertical="center"/>
    </xf>
    <xf numFmtId="3" fontId="79" fillId="0" borderId="40" xfId="0" applyNumberFormat="1" applyFont="1" applyBorder="1" applyAlignment="1">
      <alignment vertical="center"/>
    </xf>
    <xf numFmtId="0" fontId="79" fillId="0" borderId="41" xfId="0" applyFont="1" applyBorder="1" applyAlignment="1">
      <alignment vertical="center"/>
    </xf>
    <xf numFmtId="3" fontId="32" fillId="0" borderId="88" xfId="0" applyNumberFormat="1" applyFont="1" applyBorder="1" applyAlignment="1">
      <alignment vertical="center"/>
    </xf>
    <xf numFmtId="3" fontId="32" fillId="0" borderId="40" xfId="0" applyNumberFormat="1" applyFont="1" applyBorder="1" applyAlignment="1">
      <alignment vertical="center"/>
    </xf>
    <xf numFmtId="3" fontId="32" fillId="0" borderId="21" xfId="0" applyNumberFormat="1" applyFont="1" applyBorder="1" applyAlignment="1">
      <alignment vertical="center"/>
    </xf>
    <xf numFmtId="3" fontId="32" fillId="0" borderId="65" xfId="0" applyNumberFormat="1" applyFont="1" applyBorder="1" applyAlignment="1">
      <alignment vertical="center"/>
    </xf>
    <xf numFmtId="3" fontId="32" fillId="0" borderId="87" xfId="0" applyNumberFormat="1" applyFont="1" applyBorder="1" applyAlignment="1">
      <alignment vertical="center"/>
    </xf>
    <xf numFmtId="3" fontId="32" fillId="0" borderId="68" xfId="0" applyNumberFormat="1" applyFont="1" applyBorder="1" applyAlignment="1">
      <alignment vertical="center"/>
    </xf>
    <xf numFmtId="3" fontId="32" fillId="0" borderId="73" xfId="0" applyNumberFormat="1" applyFont="1" applyBorder="1" applyAlignment="1">
      <alignment vertical="center"/>
    </xf>
    <xf numFmtId="3" fontId="17" fillId="26" borderId="65" xfId="0" applyNumberFormat="1" applyFont="1" applyFill="1" applyBorder="1" applyAlignment="1">
      <alignment vertical="center"/>
    </xf>
    <xf numFmtId="0" fontId="10" fillId="26" borderId="158" xfId="0" applyFont="1" applyFill="1" applyBorder="1" applyAlignment="1">
      <alignment horizontal="center"/>
    </xf>
    <xf numFmtId="3" fontId="10" fillId="0" borderId="189" xfId="0" applyNumberFormat="1" applyFont="1" applyFill="1" applyBorder="1" applyAlignment="1">
      <alignment horizontal="right" vertical="center"/>
    </xf>
    <xf numFmtId="0" fontId="2" fillId="26" borderId="120" xfId="0" applyFont="1" applyFill="1" applyBorder="1" applyAlignment="1">
      <alignment horizontal="center" vertical="center"/>
    </xf>
    <xf numFmtId="0" fontId="15" fillId="26" borderId="236" xfId="0" applyFont="1" applyFill="1" applyBorder="1" applyAlignment="1">
      <alignment vertical="center"/>
    </xf>
    <xf numFmtId="0" fontId="2" fillId="0" borderId="267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 applyProtection="1">
      <alignment vertical="center"/>
      <protection locked="0"/>
    </xf>
    <xf numFmtId="3" fontId="69" fillId="0" borderId="0" xfId="58" applyNumberFormat="1">
      <alignment/>
      <protection/>
    </xf>
    <xf numFmtId="0" fontId="0" fillId="25" borderId="0" xfId="0" applyFont="1" applyFill="1" applyBorder="1" applyAlignment="1">
      <alignment/>
    </xf>
    <xf numFmtId="0" fontId="2" fillId="26" borderId="120" xfId="0" applyFont="1" applyFill="1" applyBorder="1" applyAlignment="1">
      <alignment/>
    </xf>
    <xf numFmtId="3" fontId="17" fillId="26" borderId="112" xfId="0" applyNumberFormat="1" applyFont="1" applyFill="1" applyBorder="1" applyAlignment="1">
      <alignment/>
    </xf>
    <xf numFmtId="3" fontId="94" fillId="0" borderId="31" xfId="0" applyNumberFormat="1" applyFont="1" applyFill="1" applyBorder="1" applyAlignment="1" applyProtection="1">
      <alignment vertical="center"/>
      <protection locked="0"/>
    </xf>
    <xf numFmtId="0" fontId="8" fillId="25" borderId="59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25" borderId="54" xfId="0" applyFont="1" applyFill="1" applyBorder="1" applyAlignment="1">
      <alignment horizontal="center"/>
    </xf>
    <xf numFmtId="3" fontId="43" fillId="25" borderId="54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44" fillId="25" borderId="61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vertical="center"/>
    </xf>
    <xf numFmtId="3" fontId="6" fillId="25" borderId="28" xfId="0" applyNumberFormat="1" applyFont="1" applyFill="1" applyBorder="1" applyAlignment="1">
      <alignment vertical="center"/>
    </xf>
    <xf numFmtId="3" fontId="6" fillId="25" borderId="185" xfId="0" applyNumberFormat="1" applyFont="1" applyFill="1" applyBorder="1" applyAlignment="1">
      <alignment vertical="center"/>
    </xf>
    <xf numFmtId="3" fontId="6" fillId="25" borderId="32" xfId="0" applyNumberFormat="1" applyFont="1" applyFill="1" applyBorder="1" applyAlignment="1">
      <alignment vertical="center"/>
    </xf>
    <xf numFmtId="3" fontId="8" fillId="25" borderId="271" xfId="0" applyNumberFormat="1" applyFont="1" applyFill="1" applyBorder="1" applyAlignment="1">
      <alignment vertical="center"/>
    </xf>
    <xf numFmtId="0" fontId="8" fillId="25" borderId="26" xfId="0" applyFont="1" applyFill="1" applyBorder="1" applyAlignment="1">
      <alignment horizontal="center"/>
    </xf>
    <xf numFmtId="0" fontId="8" fillId="25" borderId="24" xfId="0" applyFont="1" applyFill="1" applyBorder="1" applyAlignment="1">
      <alignment horizontal="center"/>
    </xf>
    <xf numFmtId="0" fontId="8" fillId="25" borderId="49" xfId="0" applyFont="1" applyFill="1" applyBorder="1" applyAlignment="1">
      <alignment horizontal="center"/>
    </xf>
    <xf numFmtId="0" fontId="8" fillId="25" borderId="33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0" fontId="8" fillId="25" borderId="58" xfId="0" applyFont="1" applyFill="1" applyBorder="1" applyAlignment="1">
      <alignment horizontal="center"/>
    </xf>
    <xf numFmtId="0" fontId="6" fillId="25" borderId="55" xfId="0" applyFont="1" applyFill="1" applyBorder="1" applyAlignment="1">
      <alignment horizontal="center"/>
    </xf>
    <xf numFmtId="3" fontId="6" fillId="25" borderId="58" xfId="0" applyNumberFormat="1" applyFont="1" applyFill="1" applyBorder="1" applyAlignment="1">
      <alignment vertical="center"/>
    </xf>
    <xf numFmtId="3" fontId="8" fillId="25" borderId="58" xfId="0" applyNumberFormat="1" applyFont="1" applyFill="1" applyBorder="1" applyAlignment="1">
      <alignment vertical="center"/>
    </xf>
    <xf numFmtId="3" fontId="43" fillId="25" borderId="58" xfId="0" applyNumberFormat="1" applyFont="1" applyFill="1" applyBorder="1" applyAlignment="1">
      <alignment vertical="center"/>
    </xf>
    <xf numFmtId="3" fontId="6" fillId="25" borderId="17" xfId="0" applyNumberFormat="1" applyFont="1" applyFill="1" applyBorder="1" applyAlignment="1">
      <alignment vertical="center"/>
    </xf>
    <xf numFmtId="3" fontId="6" fillId="25" borderId="272" xfId="0" applyNumberFormat="1" applyFont="1" applyFill="1" applyBorder="1" applyAlignment="1">
      <alignment vertical="center"/>
    </xf>
    <xf numFmtId="3" fontId="6" fillId="25" borderId="272" xfId="0" applyNumberFormat="1" applyFont="1" applyFill="1" applyBorder="1" applyAlignment="1">
      <alignment vertical="center"/>
    </xf>
    <xf numFmtId="3" fontId="6" fillId="25" borderId="3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2" fillId="25" borderId="46" xfId="0" applyFont="1" applyFill="1" applyBorder="1" applyAlignment="1">
      <alignment horizontal="center"/>
    </xf>
    <xf numFmtId="0" fontId="2" fillId="25" borderId="60" xfId="0" applyFont="1" applyFill="1" applyBorder="1" applyAlignment="1">
      <alignment/>
    </xf>
    <xf numFmtId="3" fontId="2" fillId="0" borderId="60" xfId="0" applyNumberFormat="1" applyFont="1" applyFill="1" applyBorder="1" applyAlignment="1">
      <alignment vertical="center"/>
    </xf>
    <xf numFmtId="0" fontId="15" fillId="29" borderId="273" xfId="56" applyFont="1" applyFill="1" applyBorder="1" applyAlignment="1">
      <alignment horizontal="center" vertical="center"/>
      <protection/>
    </xf>
    <xf numFmtId="0" fontId="15" fillId="29" borderId="274" xfId="56" applyFont="1" applyFill="1" applyBorder="1" applyAlignment="1">
      <alignment horizontal="center" vertical="center"/>
      <protection/>
    </xf>
    <xf numFmtId="0" fontId="15" fillId="29" borderId="275" xfId="56" applyFont="1" applyFill="1" applyBorder="1" applyAlignment="1">
      <alignment horizontal="center" vertical="center"/>
      <protection/>
    </xf>
    <xf numFmtId="0" fontId="15" fillId="29" borderId="276" xfId="56" applyFont="1" applyFill="1" applyBorder="1" applyAlignment="1">
      <alignment horizontal="center" vertical="center"/>
      <protection/>
    </xf>
    <xf numFmtId="0" fontId="15" fillId="29" borderId="277" xfId="56" applyFont="1" applyFill="1" applyBorder="1" applyAlignment="1">
      <alignment horizontal="center" vertical="center"/>
      <protection/>
    </xf>
    <xf numFmtId="0" fontId="15" fillId="29" borderId="155" xfId="56" applyFont="1" applyFill="1" applyBorder="1" applyAlignment="1">
      <alignment horizontal="center" vertical="center"/>
      <protection/>
    </xf>
    <xf numFmtId="0" fontId="12" fillId="26" borderId="0" xfId="56" applyFont="1" applyFill="1" applyBorder="1" applyAlignment="1">
      <alignment horizontal="center"/>
      <protection/>
    </xf>
    <xf numFmtId="0" fontId="2" fillId="26" borderId="0" xfId="56" applyFont="1" applyFill="1" applyBorder="1" applyAlignment="1">
      <alignment horizontal="center"/>
      <protection/>
    </xf>
    <xf numFmtId="0" fontId="15" fillId="29" borderId="69" xfId="56" applyFont="1" applyFill="1" applyBorder="1" applyAlignment="1">
      <alignment horizontal="center" vertical="center"/>
      <protection/>
    </xf>
    <xf numFmtId="0" fontId="15" fillId="29" borderId="278" xfId="56" applyFont="1" applyFill="1" applyBorder="1" applyAlignment="1">
      <alignment horizontal="center" vertical="center"/>
      <protection/>
    </xf>
    <xf numFmtId="3" fontId="15" fillId="29" borderId="279" xfId="56" applyNumberFormat="1" applyFont="1" applyFill="1" applyBorder="1" applyAlignment="1">
      <alignment horizontal="center" vertical="center"/>
      <protection/>
    </xf>
    <xf numFmtId="3" fontId="15" fillId="29" borderId="224" xfId="56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wrapText="1"/>
    </xf>
    <xf numFmtId="0" fontId="2" fillId="0" borderId="35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4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14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59" xfId="0" applyFont="1" applyFill="1" applyBorder="1" applyAlignment="1">
      <alignment horizontal="center"/>
    </xf>
    <xf numFmtId="0" fontId="66" fillId="0" borderId="47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54" xfId="0" applyFont="1" applyFill="1" applyBorder="1" applyAlignment="1">
      <alignment horizontal="center"/>
    </xf>
    <xf numFmtId="0" fontId="66" fillId="0" borderId="48" xfId="0" applyFont="1" applyFill="1" applyBorder="1" applyAlignment="1">
      <alignment horizontal="center"/>
    </xf>
    <xf numFmtId="0" fontId="66" fillId="0" borderId="54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0" fontId="66" fillId="0" borderId="1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30" fillId="0" borderId="2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79" fillId="0" borderId="25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40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17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17" fillId="26" borderId="0" xfId="0" applyFont="1" applyFill="1" applyBorder="1" applyAlignment="1">
      <alignment/>
    </xf>
    <xf numFmtId="0" fontId="40" fillId="26" borderId="0" xfId="0" applyFont="1" applyFill="1" applyBorder="1" applyAlignment="1">
      <alignment horizontal="center"/>
    </xf>
    <xf numFmtId="0" fontId="12" fillId="25" borderId="0" xfId="0" applyFont="1" applyFill="1" applyAlignment="1">
      <alignment horizontal="center"/>
    </xf>
    <xf numFmtId="0" fontId="15" fillId="25" borderId="0" xfId="0" applyFont="1" applyFill="1" applyAlignment="1">
      <alignment horizontal="center"/>
    </xf>
    <xf numFmtId="0" fontId="15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 horizontal="center"/>
    </xf>
    <xf numFmtId="0" fontId="3" fillId="26" borderId="0" xfId="0" applyFont="1" applyFill="1" applyBorder="1" applyAlignment="1">
      <alignment/>
    </xf>
    <xf numFmtId="0" fontId="3" fillId="26" borderId="0" xfId="0" applyFont="1" applyFill="1" applyBorder="1" applyAlignment="1">
      <alignment vertical="center"/>
    </xf>
    <xf numFmtId="0" fontId="41" fillId="25" borderId="0" xfId="0" applyFont="1" applyFill="1" applyAlignment="1">
      <alignment horizontal="center"/>
    </xf>
    <xf numFmtId="0" fontId="4" fillId="25" borderId="0" xfId="0" applyFont="1" applyFill="1" applyAlignment="1">
      <alignment/>
    </xf>
    <xf numFmtId="0" fontId="2" fillId="24" borderId="0" xfId="0" applyFont="1" applyFill="1" applyBorder="1" applyAlignment="1">
      <alignment horizontal="right"/>
    </xf>
    <xf numFmtId="0" fontId="17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73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3" fontId="17" fillId="26" borderId="0" xfId="0" applyNumberFormat="1" applyFont="1" applyFill="1" applyBorder="1" applyAlignment="1">
      <alignment horizontal="center"/>
    </xf>
    <xf numFmtId="3" fontId="25" fillId="26" borderId="0" xfId="0" applyNumberFormat="1" applyFont="1" applyFill="1" applyBorder="1" applyAlignment="1">
      <alignment horizontal="center"/>
    </xf>
    <xf numFmtId="0" fontId="13" fillId="26" borderId="195" xfId="58" applyFont="1" applyFill="1" applyBorder="1" applyAlignment="1">
      <alignment horizontal="center" vertical="center"/>
      <protection/>
    </xf>
    <xf numFmtId="0" fontId="3" fillId="26" borderId="198" xfId="58" applyFont="1" applyFill="1" applyBorder="1" applyAlignment="1">
      <alignment horizontal="center" vertical="center"/>
      <protection/>
    </xf>
    <xf numFmtId="0" fontId="3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40" fillId="0" borderId="143" xfId="0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46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0" fontId="8" fillId="25" borderId="46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4" fillId="25" borderId="18" xfId="0" applyFont="1" applyFill="1" applyBorder="1" applyAlignment="1" applyProtection="1">
      <alignment horizontal="center"/>
      <protection hidden="1" locked="0"/>
    </xf>
    <xf numFmtId="0" fontId="4" fillId="25" borderId="16" xfId="0" applyFont="1" applyFill="1" applyBorder="1" applyAlignment="1" applyProtection="1">
      <alignment horizontal="center"/>
      <protection hidden="1" locked="0"/>
    </xf>
    <xf numFmtId="0" fontId="4" fillId="25" borderId="59" xfId="0" applyFont="1" applyFill="1" applyBorder="1" applyAlignment="1" applyProtection="1">
      <alignment horizontal="center"/>
      <protection hidden="1" locked="0"/>
    </xf>
    <xf numFmtId="0" fontId="4" fillId="25" borderId="47" xfId="0" applyFont="1" applyFill="1" applyBorder="1" applyAlignment="1" applyProtection="1">
      <alignment horizontal="center"/>
      <protection hidden="1" locked="0"/>
    </xf>
    <xf numFmtId="0" fontId="4" fillId="25" borderId="54" xfId="0" applyFont="1" applyFill="1" applyBorder="1" applyAlignment="1" applyProtection="1">
      <alignment horizontal="center"/>
      <protection hidden="1" locked="0"/>
    </xf>
    <xf numFmtId="0" fontId="4" fillId="25" borderId="48" xfId="0" applyFont="1" applyFill="1" applyBorder="1" applyAlignment="1" applyProtection="1">
      <alignment horizontal="center"/>
      <protection hidden="1" locked="0"/>
    </xf>
    <xf numFmtId="0" fontId="12" fillId="25" borderId="0" xfId="0" applyFont="1" applyFill="1" applyAlignment="1" applyProtection="1">
      <alignment horizontal="center"/>
      <protection hidden="1" locked="0"/>
    </xf>
    <xf numFmtId="0" fontId="8" fillId="25" borderId="0" xfId="0" applyFont="1" applyFill="1" applyBorder="1" applyAlignment="1" applyProtection="1">
      <alignment/>
      <protection hidden="1" locked="0"/>
    </xf>
    <xf numFmtId="3" fontId="4" fillId="25" borderId="18" xfId="0" applyNumberFormat="1" applyFont="1" applyFill="1" applyBorder="1" applyAlignment="1">
      <alignment horizontal="center"/>
    </xf>
    <xf numFmtId="3" fontId="4" fillId="25" borderId="24" xfId="0" applyNumberFormat="1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3" fontId="4" fillId="25" borderId="16" xfId="0" applyNumberFormat="1" applyFont="1" applyFill="1" applyBorder="1" applyAlignment="1">
      <alignment horizontal="center"/>
    </xf>
    <xf numFmtId="3" fontId="4" fillId="25" borderId="59" xfId="0" applyNumberFormat="1" applyFont="1" applyFill="1" applyBorder="1" applyAlignment="1">
      <alignment horizontal="center"/>
    </xf>
    <xf numFmtId="3" fontId="4" fillId="25" borderId="47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20" fillId="25" borderId="16" xfId="0" applyFont="1" applyFill="1" applyBorder="1" applyAlignment="1">
      <alignment horizontal="center"/>
    </xf>
    <xf numFmtId="3" fontId="4" fillId="25" borderId="57" xfId="0" applyNumberFormat="1" applyFont="1" applyFill="1" applyBorder="1" applyAlignment="1">
      <alignment horizontal="center"/>
    </xf>
    <xf numFmtId="3" fontId="4" fillId="25" borderId="23" xfId="0" applyNumberFormat="1" applyFont="1" applyFill="1" applyBorder="1" applyAlignment="1">
      <alignment horizontal="center"/>
    </xf>
    <xf numFmtId="3" fontId="33" fillId="25" borderId="18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3" fontId="74" fillId="25" borderId="65" xfId="0" applyNumberFormat="1" applyFont="1" applyFill="1" applyBorder="1" applyAlignment="1">
      <alignment horizontal="center" vertical="center"/>
    </xf>
    <xf numFmtId="0" fontId="84" fillId="25" borderId="88" xfId="0" applyFont="1" applyFill="1" applyBorder="1" applyAlignment="1">
      <alignment horizontal="center" vertical="center"/>
    </xf>
    <xf numFmtId="3" fontId="4" fillId="25" borderId="54" xfId="0" applyNumberFormat="1" applyFont="1" applyFill="1" applyBorder="1" applyAlignment="1">
      <alignment horizontal="center"/>
    </xf>
    <xf numFmtId="3" fontId="4" fillId="25" borderId="48" xfId="0" applyNumberFormat="1" applyFont="1" applyFill="1" applyBorder="1" applyAlignment="1">
      <alignment horizontal="center"/>
    </xf>
    <xf numFmtId="3" fontId="4" fillId="25" borderId="77" xfId="0" applyNumberFormat="1" applyFont="1" applyFill="1" applyBorder="1" applyAlignment="1">
      <alignment horizontal="center"/>
    </xf>
    <xf numFmtId="3" fontId="85" fillId="25" borderId="57" xfId="0" applyNumberFormat="1" applyFont="1" applyFill="1" applyBorder="1" applyAlignment="1">
      <alignment horizontal="center" vertical="center"/>
    </xf>
    <xf numFmtId="0" fontId="86" fillId="25" borderId="77" xfId="0" applyFont="1" applyFill="1" applyBorder="1" applyAlignment="1">
      <alignment horizontal="center" vertical="center"/>
    </xf>
    <xf numFmtId="0" fontId="84" fillId="25" borderId="143" xfId="0" applyFont="1" applyFill="1" applyBorder="1" applyAlignment="1">
      <alignment horizontal="center" vertical="center"/>
    </xf>
    <xf numFmtId="0" fontId="86" fillId="25" borderId="140" xfId="0" applyFont="1" applyFill="1" applyBorder="1" applyAlignment="1">
      <alignment horizontal="center" vertical="center"/>
    </xf>
    <xf numFmtId="3" fontId="4" fillId="25" borderId="14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24" borderId="246" xfId="0" applyFont="1" applyFill="1" applyBorder="1" applyAlignment="1">
      <alignment horizontal="center"/>
    </xf>
    <xf numFmtId="0" fontId="4" fillId="24" borderId="89" xfId="0" applyFont="1" applyFill="1" applyBorder="1" applyAlignment="1">
      <alignment horizontal="center"/>
    </xf>
    <xf numFmtId="0" fontId="4" fillId="24" borderId="137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 vertical="center" wrapText="1"/>
    </xf>
    <xf numFmtId="0" fontId="4" fillId="24" borderId="7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61" xfId="0" applyFont="1" applyFill="1" applyBorder="1" applyAlignment="1">
      <alignment horizontal="center" vertical="center" wrapText="1"/>
    </xf>
    <xf numFmtId="0" fontId="4" fillId="24" borderId="57" xfId="0" applyFont="1" applyFill="1" applyBorder="1" applyAlignment="1">
      <alignment horizontal="center" vertical="center"/>
    </xf>
    <xf numFmtId="0" fontId="4" fillId="24" borderId="14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68" xfId="0" applyFont="1" applyFill="1" applyBorder="1" applyAlignment="1">
      <alignment horizontal="center" vertical="center"/>
    </xf>
    <xf numFmtId="0" fontId="20" fillId="0" borderId="269" xfId="0" applyFont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4" fillId="24" borderId="38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vertical="center" wrapText="1"/>
    </xf>
    <xf numFmtId="0" fontId="4" fillId="24" borderId="39" xfId="0" applyFont="1" applyFill="1" applyBorder="1" applyAlignment="1">
      <alignment vertical="center" wrapText="1"/>
    </xf>
    <xf numFmtId="0" fontId="4" fillId="24" borderId="32" xfId="0" applyFont="1" applyFill="1" applyBorder="1" applyAlignment="1">
      <alignment vertical="center" wrapText="1"/>
    </xf>
    <xf numFmtId="0" fontId="4" fillId="24" borderId="76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269" xfId="0" applyFont="1" applyFill="1" applyBorder="1" applyAlignment="1">
      <alignment horizontal="center" vertical="center"/>
    </xf>
    <xf numFmtId="0" fontId="4" fillId="24" borderId="280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.számú melléklet" xfId="56"/>
    <cellStyle name="Normal_KARSZJ3" xfId="57"/>
    <cellStyle name="Normál_Tartalék felhasználá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ENZUGY\HUPENZU\2007\2007.%20&#233;vi%20Z&#193;RSZ&#193;MAD&#193;S\12_t&#225;bla_&#233;vv&#233;gi_besz&#225;mol&#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ENZUGY\HUPENZU\2007\2007.%20&#233;vi%20Z&#193;RSZ&#193;MAD&#193;S\2007_&#233;ves_besz_19_t&#225;bla_2_oldal%20e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zsu_C\2011_ment&#233;sek\R&#233;gi%2013_t_&#193;gi&#233;%20f&#233;l&#233;v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enzugy\HUPENZU\2013\Z&#225;rsz&#225;mad&#225;s\Leadott\2013.%20&#233;vi%20teljes&#237;t&#233;s%20int&#233;zm&#233;ny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2. Kisebbsé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.kimutatá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_sz_melléklet K. "/>
      <sheetName val="6_sz_melléklet B."/>
      <sheetName val="7.sz. melléklet "/>
      <sheetName val="8_sz_melléklet K. "/>
      <sheetName val="8_sz_melléklet B. "/>
      <sheetName val="8 a melléklet"/>
      <sheetName val="_14_melléklet "/>
      <sheetName val="_15_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3"/>
  <sheetViews>
    <sheetView tabSelected="1" zoomScale="75" zoomScaleNormal="75" zoomScalePageLayoutView="0" workbookViewId="0" topLeftCell="C1">
      <selection activeCell="L3" sqref="L3"/>
    </sheetView>
  </sheetViews>
  <sheetFormatPr defaultColWidth="9.00390625" defaultRowHeight="12.75"/>
  <cols>
    <col min="1" max="1" width="4.25390625" style="918" customWidth="1"/>
    <col min="2" max="2" width="55.75390625" style="918" customWidth="1"/>
    <col min="3" max="4" width="11.125" style="917" customWidth="1"/>
    <col min="5" max="5" width="12.00390625" style="918" customWidth="1"/>
    <col min="6" max="6" width="11.125" style="915" customWidth="1"/>
    <col min="7" max="7" width="4.25390625" style="918" customWidth="1"/>
    <col min="8" max="8" width="55.75390625" style="918" customWidth="1"/>
    <col min="9" max="9" width="12.25390625" style="917" customWidth="1"/>
    <col min="10" max="10" width="12.375" style="917" customWidth="1"/>
    <col min="11" max="11" width="12.25390625" style="918" customWidth="1"/>
    <col min="12" max="12" width="11.375" style="915" customWidth="1"/>
    <col min="13" max="15" width="14.75390625" style="918" customWidth="1"/>
    <col min="16" max="16384" width="9.125" style="918" customWidth="1"/>
  </cols>
  <sheetData>
    <row r="1" ht="7.5" customHeight="1"/>
    <row r="2" spans="1:15" ht="12.75">
      <c r="A2" s="910"/>
      <c r="B2" s="911"/>
      <c r="C2" s="912"/>
      <c r="D2" s="912"/>
      <c r="E2" s="913"/>
      <c r="F2" s="914"/>
      <c r="G2" s="915"/>
      <c r="H2" s="916"/>
      <c r="K2" s="558"/>
      <c r="L2" s="558" t="s">
        <v>1255</v>
      </c>
      <c r="O2" s="558"/>
    </row>
    <row r="3" spans="1:15" ht="12.75">
      <c r="A3" s="915"/>
      <c r="B3" s="915"/>
      <c r="E3" s="916"/>
      <c r="F3" s="916"/>
      <c r="G3" s="915"/>
      <c r="H3" s="916"/>
      <c r="K3" s="558"/>
      <c r="L3" s="558" t="s">
        <v>71</v>
      </c>
      <c r="O3" s="558"/>
    </row>
    <row r="4" spans="1:15" ht="12.75" hidden="1">
      <c r="A4" s="915"/>
      <c r="B4" s="915"/>
      <c r="E4" s="916"/>
      <c r="F4" s="916"/>
      <c r="G4" s="915"/>
      <c r="H4" s="916"/>
      <c r="K4" s="558"/>
      <c r="L4" s="159" t="s">
        <v>895</v>
      </c>
      <c r="O4" s="558"/>
    </row>
    <row r="5" spans="1:12" ht="18">
      <c r="A5" s="2180" t="s">
        <v>799</v>
      </c>
      <c r="B5" s="2180"/>
      <c r="C5" s="2180"/>
      <c r="D5" s="2180"/>
      <c r="E5" s="2180"/>
      <c r="F5" s="2180"/>
      <c r="G5" s="2180"/>
      <c r="H5" s="2180"/>
      <c r="I5" s="2180"/>
      <c r="J5" s="2180"/>
      <c r="K5" s="2180"/>
      <c r="L5" s="2180"/>
    </row>
    <row r="6" spans="1:15" ht="12.75">
      <c r="A6" s="2181" t="s">
        <v>72</v>
      </c>
      <c r="B6" s="2181"/>
      <c r="C6" s="2181"/>
      <c r="D6" s="2181"/>
      <c r="E6" s="2181"/>
      <c r="F6" s="2181"/>
      <c r="G6" s="2181"/>
      <c r="H6" s="2181"/>
      <c r="I6" s="2181"/>
      <c r="J6" s="2181"/>
      <c r="K6" s="2181"/>
      <c r="L6" s="2181"/>
      <c r="M6" s="920"/>
      <c r="N6" s="920"/>
      <c r="O6" s="920"/>
    </row>
    <row r="7" spans="1:15" ht="12.75" hidden="1">
      <c r="A7" s="919"/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19"/>
    </row>
    <row r="8" spans="1:8" ht="13.5" thickBot="1">
      <c r="A8" s="915"/>
      <c r="B8" s="915"/>
      <c r="E8" s="915"/>
      <c r="G8" s="915"/>
      <c r="H8" s="916"/>
    </row>
    <row r="9" spans="1:12" ht="12.75">
      <c r="A9" s="1299" t="s">
        <v>878</v>
      </c>
      <c r="B9" s="1299"/>
      <c r="C9" s="1300" t="s">
        <v>389</v>
      </c>
      <c r="D9" s="1300" t="s">
        <v>389</v>
      </c>
      <c r="E9" s="664" t="s">
        <v>389</v>
      </c>
      <c r="F9" s="416" t="s">
        <v>389</v>
      </c>
      <c r="G9" s="1301"/>
      <c r="H9" s="1299"/>
      <c r="I9" s="1300" t="s">
        <v>389</v>
      </c>
      <c r="J9" s="1300" t="s">
        <v>389</v>
      </c>
      <c r="K9" s="664" t="s">
        <v>389</v>
      </c>
      <c r="L9" s="1431" t="s">
        <v>389</v>
      </c>
    </row>
    <row r="10" spans="1:12" ht="12.75">
      <c r="A10" s="1302" t="s">
        <v>530</v>
      </c>
      <c r="B10" s="1302" t="s">
        <v>547</v>
      </c>
      <c r="C10" s="1303" t="s">
        <v>50</v>
      </c>
      <c r="D10" s="1303" t="s">
        <v>490</v>
      </c>
      <c r="E10" s="665" t="s">
        <v>190</v>
      </c>
      <c r="F10" s="160" t="s">
        <v>190</v>
      </c>
      <c r="G10" s="1304" t="s">
        <v>530</v>
      </c>
      <c r="H10" s="1302" t="s">
        <v>548</v>
      </c>
      <c r="I10" s="1303" t="s">
        <v>50</v>
      </c>
      <c r="J10" s="1303" t="s">
        <v>490</v>
      </c>
      <c r="K10" s="665" t="s">
        <v>190</v>
      </c>
      <c r="L10" s="1432" t="s">
        <v>190</v>
      </c>
    </row>
    <row r="11" spans="1:12" ht="13.5" thickBot="1">
      <c r="A11" s="1305"/>
      <c r="B11" s="1305" t="s">
        <v>128</v>
      </c>
      <c r="C11" s="1306" t="s">
        <v>4</v>
      </c>
      <c r="D11" s="1430" t="s">
        <v>4</v>
      </c>
      <c r="E11" s="929"/>
      <c r="F11" s="930" t="s">
        <v>303</v>
      </c>
      <c r="G11" s="1499"/>
      <c r="H11" s="1500" t="s">
        <v>128</v>
      </c>
      <c r="I11" s="1306" t="s">
        <v>4</v>
      </c>
      <c r="J11" s="1430" t="s">
        <v>4</v>
      </c>
      <c r="K11" s="929"/>
      <c r="L11" s="1433" t="s">
        <v>303</v>
      </c>
    </row>
    <row r="12" spans="1:15" ht="14.25">
      <c r="A12" s="1307">
        <v>1</v>
      </c>
      <c r="B12" s="1308">
        <v>2</v>
      </c>
      <c r="C12" s="1309">
        <v>5</v>
      </c>
      <c r="D12" s="1310">
        <v>6</v>
      </c>
      <c r="E12" s="1310">
        <v>7</v>
      </c>
      <c r="F12" s="1311">
        <v>8</v>
      </c>
      <c r="G12" s="1497">
        <v>8</v>
      </c>
      <c r="H12" s="1498">
        <v>9</v>
      </c>
      <c r="I12" s="1312">
        <v>12</v>
      </c>
      <c r="J12" s="1313">
        <v>13</v>
      </c>
      <c r="K12" s="1310">
        <v>14</v>
      </c>
      <c r="L12" s="1434">
        <v>16</v>
      </c>
      <c r="M12" s="921"/>
      <c r="N12" s="921"/>
      <c r="O12" s="922"/>
    </row>
    <row r="13" spans="1:15" ht="14.25">
      <c r="A13" s="1314"/>
      <c r="B13" s="1315"/>
      <c r="C13" s="1316"/>
      <c r="D13" s="1316"/>
      <c r="E13" s="1317"/>
      <c r="F13" s="923"/>
      <c r="G13" s="1318" t="s">
        <v>878</v>
      </c>
      <c r="H13" s="1319"/>
      <c r="I13" s="1316"/>
      <c r="J13" s="1316"/>
      <c r="K13" s="1320"/>
      <c r="L13" s="1321"/>
      <c r="M13" s="924"/>
      <c r="N13" s="924"/>
      <c r="O13" s="924"/>
    </row>
    <row r="14" spans="1:15" s="925" customFormat="1" ht="24.75" customHeight="1">
      <c r="A14" s="1322">
        <v>1</v>
      </c>
      <c r="B14" s="1296" t="s">
        <v>483</v>
      </c>
      <c r="C14" s="1323">
        <f>T_2_kiadás_2013!C14</f>
        <v>3472166</v>
      </c>
      <c r="D14" s="1323">
        <f>T_2_kiadás_2013!D14</f>
        <v>3956108.937</v>
      </c>
      <c r="E14" s="1323">
        <f>T_2_kiadás_2013!E14</f>
        <v>3733309</v>
      </c>
      <c r="F14" s="932">
        <f aca="true" t="shared" si="0" ref="F14:F24">E14/D14*100</f>
        <v>94.36820521001745</v>
      </c>
      <c r="G14" s="1324">
        <v>1</v>
      </c>
      <c r="H14" s="1325" t="s">
        <v>214</v>
      </c>
      <c r="I14" s="1327">
        <f>T_3_bevétel_2013!C14</f>
        <v>2490671</v>
      </c>
      <c r="J14" s="1328">
        <f>T_3_bevétel_2013!D14</f>
        <v>2387335</v>
      </c>
      <c r="K14" s="1328">
        <f>T_3_bevétel_2013!E14</f>
        <v>2534208</v>
      </c>
      <c r="L14" s="934">
        <f aca="true" t="shared" si="1" ref="L14:L22">K14/J14*100</f>
        <v>106.15217386751337</v>
      </c>
      <c r="M14" s="924"/>
      <c r="N14" s="924"/>
      <c r="O14" s="922"/>
    </row>
    <row r="15" spans="1:15" ht="24.75" customHeight="1">
      <c r="A15" s="1322">
        <v>2</v>
      </c>
      <c r="B15" s="1296" t="s">
        <v>76</v>
      </c>
      <c r="C15" s="1323">
        <f>T_2_kiadás_2013!C15</f>
        <v>911526</v>
      </c>
      <c r="D15" s="1323">
        <f>T_2_kiadás_2013!D15</f>
        <v>999134.437</v>
      </c>
      <c r="E15" s="1323">
        <f>T_2_kiadás_2013!E15</f>
        <v>933642.87</v>
      </c>
      <c r="F15" s="932">
        <f t="shared" si="0"/>
        <v>93.44516968140493</v>
      </c>
      <c r="G15" s="1329">
        <v>2</v>
      </c>
      <c r="H15" s="1330" t="s">
        <v>821</v>
      </c>
      <c r="I15" s="1327">
        <f>T_3_bevétel_2013!C19</f>
        <v>7365217</v>
      </c>
      <c r="J15" s="1328">
        <f>T_3_bevétel_2013!D19</f>
        <v>7389767</v>
      </c>
      <c r="K15" s="1328">
        <f>T_3_bevétel_2013!E19</f>
        <v>7592162.363999999</v>
      </c>
      <c r="L15" s="934">
        <f t="shared" si="1"/>
        <v>102.73885988556877</v>
      </c>
      <c r="M15" s="924"/>
      <c r="N15" s="924"/>
      <c r="O15" s="924"/>
    </row>
    <row r="16" spans="1:15" ht="24.75" customHeight="1">
      <c r="A16" s="1322">
        <v>3</v>
      </c>
      <c r="B16" s="1296" t="s">
        <v>22</v>
      </c>
      <c r="C16" s="1323">
        <f>T_2_kiadás_2013!C16-C32</f>
        <v>5764810</v>
      </c>
      <c r="D16" s="1323">
        <f>T_2_kiadás_2013!D16-D32</f>
        <v>6255446.956</v>
      </c>
      <c r="E16" s="1323">
        <f>T_2_kiadás_2013!E16-E32</f>
        <v>5465888.303</v>
      </c>
      <c r="F16" s="932">
        <f t="shared" si="0"/>
        <v>87.37806173477847</v>
      </c>
      <c r="G16" s="1329">
        <v>3</v>
      </c>
      <c r="H16" s="1331" t="s">
        <v>822</v>
      </c>
      <c r="I16" s="1327">
        <f>T_3_bevétel_2013!C45</f>
        <v>1842465</v>
      </c>
      <c r="J16" s="1328">
        <f>T_3_bevétel_2013!D45</f>
        <v>1845893.012</v>
      </c>
      <c r="K16" s="1328">
        <f>T_3_bevétel_2013!E45</f>
        <v>1845892.5280000002</v>
      </c>
      <c r="L16" s="934">
        <f t="shared" si="1"/>
        <v>99.99997377962879</v>
      </c>
      <c r="M16" s="924"/>
      <c r="N16" s="924"/>
      <c r="O16" s="924"/>
    </row>
    <row r="17" spans="1:15" ht="24.75" customHeight="1">
      <c r="A17" s="1332">
        <v>4</v>
      </c>
      <c r="B17" s="1333" t="s">
        <v>342</v>
      </c>
      <c r="C17" s="1328">
        <f>T_2_kiadás_2013!C24</f>
        <v>9510</v>
      </c>
      <c r="D17" s="1328">
        <f>T_2_kiadás_2013!D24</f>
        <v>10485</v>
      </c>
      <c r="E17" s="1328">
        <f>T_2_kiadás_2013!E24</f>
        <v>8515</v>
      </c>
      <c r="F17" s="932">
        <f t="shared" si="0"/>
        <v>81.21125417262756</v>
      </c>
      <c r="G17" s="1329">
        <v>4</v>
      </c>
      <c r="H17" s="1331" t="s">
        <v>823</v>
      </c>
      <c r="I17" s="1327">
        <f>T_3_bevétel_2013!C47</f>
        <v>0</v>
      </c>
      <c r="J17" s="1328">
        <f>T_3_bevétel_2013!D47</f>
        <v>175221.85499999998</v>
      </c>
      <c r="K17" s="1328">
        <f>T_3_bevétel_2013!E47</f>
        <v>175221.895</v>
      </c>
      <c r="L17" s="934">
        <f t="shared" si="1"/>
        <v>100.00002282820257</v>
      </c>
      <c r="M17" s="924"/>
      <c r="N17" s="924"/>
      <c r="O17" s="924"/>
    </row>
    <row r="18" spans="1:15" ht="24.75" customHeight="1">
      <c r="A18" s="1322">
        <v>5</v>
      </c>
      <c r="B18" s="1296" t="s">
        <v>813</v>
      </c>
      <c r="C18" s="1323">
        <f>SUM(C19:C22)</f>
        <v>785783</v>
      </c>
      <c r="D18" s="1323">
        <f>SUM(D19:D22)</f>
        <v>1294261</v>
      </c>
      <c r="E18" s="1323">
        <f>SUM(E19:E22)</f>
        <v>1246185</v>
      </c>
      <c r="F18" s="932">
        <f t="shared" si="0"/>
        <v>96.28544783471031</v>
      </c>
      <c r="G18" s="1324">
        <v>5</v>
      </c>
      <c r="H18" s="1331" t="s">
        <v>824</v>
      </c>
      <c r="I18" s="1327">
        <f>T_3_bevétel_2013!C50</f>
        <v>1023434</v>
      </c>
      <c r="J18" s="1328">
        <f>T_3_bevétel_2013!D50</f>
        <v>1152553.37</v>
      </c>
      <c r="K18" s="1328">
        <f>T_3_bevétel_2013!E50</f>
        <v>1343055.351</v>
      </c>
      <c r="L18" s="934">
        <f t="shared" si="1"/>
        <v>116.52869064102427</v>
      </c>
      <c r="M18" s="924"/>
      <c r="N18" s="924"/>
      <c r="O18" s="922"/>
    </row>
    <row r="19" spans="1:15" ht="24.75" customHeight="1">
      <c r="A19" s="1332"/>
      <c r="B19" s="1297" t="s">
        <v>814</v>
      </c>
      <c r="C19" s="1334">
        <f>T_2_kiadás_2013!C18</f>
        <v>25000</v>
      </c>
      <c r="D19" s="1334">
        <f>T_2_kiadás_2013!D18</f>
        <v>522779</v>
      </c>
      <c r="E19" s="1334">
        <f>T_2_kiadás_2013!E18</f>
        <v>532889</v>
      </c>
      <c r="F19" s="932">
        <f t="shared" si="0"/>
        <v>101.93389558494124</v>
      </c>
      <c r="G19" s="1324">
        <v>6</v>
      </c>
      <c r="H19" s="1325" t="s">
        <v>825</v>
      </c>
      <c r="I19" s="1327">
        <f>T_3_bevétel_2013!C82</f>
        <v>0</v>
      </c>
      <c r="J19" s="1327">
        <f>T_3_bevétel_2013!D82</f>
        <v>4400.875</v>
      </c>
      <c r="K19" s="1327">
        <f>T_3_bevétel_2013!E82</f>
        <v>4401</v>
      </c>
      <c r="L19" s="934">
        <f t="shared" si="1"/>
        <v>100.00284034424973</v>
      </c>
      <c r="M19" s="924"/>
      <c r="N19" s="924"/>
      <c r="O19" s="922"/>
    </row>
    <row r="20" spans="1:15" ht="24.75" customHeight="1">
      <c r="A20" s="1332"/>
      <c r="B20" s="1297" t="s">
        <v>815</v>
      </c>
      <c r="C20" s="1334">
        <f>T_2_kiadás_2013!C21</f>
        <v>436694</v>
      </c>
      <c r="D20" s="1334">
        <f>T_2_kiadás_2013!D21</f>
        <v>456407</v>
      </c>
      <c r="E20" s="1334">
        <f>T_2_kiadás_2013!E21</f>
        <v>429289</v>
      </c>
      <c r="F20" s="932">
        <f t="shared" si="0"/>
        <v>94.05837333783225</v>
      </c>
      <c r="G20" s="1324">
        <v>7</v>
      </c>
      <c r="H20" s="1330" t="s">
        <v>1076</v>
      </c>
      <c r="I20" s="1327">
        <f>T_3_bevétel_2013!C42</f>
        <v>0</v>
      </c>
      <c r="J20" s="1327">
        <f>T_3_bevétel_2013!D42</f>
        <v>0</v>
      </c>
      <c r="K20" s="1327">
        <f>T_3_bevétel_2013!E42</f>
        <v>0</v>
      </c>
      <c r="L20" s="934">
        <v>0</v>
      </c>
      <c r="M20" s="924"/>
      <c r="N20" s="924"/>
      <c r="O20" s="922"/>
    </row>
    <row r="21" spans="1:15" ht="24.75" customHeight="1">
      <c r="A21" s="1332"/>
      <c r="B21" s="1297" t="s">
        <v>816</v>
      </c>
      <c r="C21" s="1334">
        <f>T_2_kiadás_2013!C23</f>
        <v>323889</v>
      </c>
      <c r="D21" s="1334">
        <f>T_2_kiadás_2013!D23</f>
        <v>314875</v>
      </c>
      <c r="E21" s="1334">
        <f>T_2_kiadás_2013!E23</f>
        <v>284007</v>
      </c>
      <c r="F21" s="932">
        <f t="shared" si="0"/>
        <v>90.19674473997618</v>
      </c>
      <c r="G21" s="1336">
        <v>8</v>
      </c>
      <c r="H21" s="1337" t="s">
        <v>826</v>
      </c>
      <c r="I21" s="1327">
        <f>T_3_bevétel_2013!C85</f>
        <v>0</v>
      </c>
      <c r="J21" s="1327">
        <f>T_3_bevétel_2013!D85</f>
        <v>327244</v>
      </c>
      <c r="K21" s="1327">
        <f>T_3_bevétel_2013!E85</f>
        <v>328948</v>
      </c>
      <c r="L21" s="934">
        <f t="shared" si="1"/>
        <v>100.52071237364169</v>
      </c>
      <c r="M21" s="922"/>
      <c r="N21" s="922"/>
      <c r="O21" s="922"/>
    </row>
    <row r="22" spans="1:15" ht="24.75" customHeight="1">
      <c r="A22" s="1332"/>
      <c r="B22" s="1297" t="s">
        <v>817</v>
      </c>
      <c r="C22" s="1334">
        <f>T_2_kiadás_2013!C32</f>
        <v>200</v>
      </c>
      <c r="D22" s="1334">
        <f>T_2_kiadás_2013!D32</f>
        <v>200</v>
      </c>
      <c r="E22" s="1334">
        <f>T_2_kiadás_2013!E32</f>
        <v>0</v>
      </c>
      <c r="F22" s="932">
        <f t="shared" si="0"/>
        <v>0</v>
      </c>
      <c r="G22" s="1336">
        <v>9</v>
      </c>
      <c r="H22" s="1337" t="s">
        <v>827</v>
      </c>
      <c r="I22" s="1326">
        <f>'5.tábla'!DN91</f>
        <v>0</v>
      </c>
      <c r="J22" s="1326">
        <f>'5.tábla'!DO91</f>
        <v>874348</v>
      </c>
      <c r="K22" s="1326">
        <f>'5.tábla'!DP91</f>
        <v>639812.6490000001</v>
      </c>
      <c r="L22" s="934">
        <f t="shared" si="1"/>
        <v>73.17597215296428</v>
      </c>
      <c r="M22" s="924"/>
      <c r="N22" s="924"/>
      <c r="O22" s="922"/>
    </row>
    <row r="23" spans="1:15" ht="24.75" customHeight="1">
      <c r="A23" s="1332">
        <v>6</v>
      </c>
      <c r="B23" s="1333" t="s">
        <v>61</v>
      </c>
      <c r="C23" s="1328">
        <f>T_2_kiadás_2013!C26</f>
        <v>133000</v>
      </c>
      <c r="D23" s="1328">
        <f>T_2_kiadás_2013!D26</f>
        <v>104847</v>
      </c>
      <c r="E23" s="1328">
        <f>T_2_kiadás_2013!E26</f>
        <v>0</v>
      </c>
      <c r="F23" s="932">
        <f t="shared" si="0"/>
        <v>0</v>
      </c>
      <c r="G23" s="1336"/>
      <c r="H23" s="1028"/>
      <c r="I23" s="1326"/>
      <c r="J23" s="1328"/>
      <c r="K23" s="1328"/>
      <c r="L23" s="1495"/>
      <c r="M23" s="924"/>
      <c r="N23" s="924"/>
      <c r="O23" s="922"/>
    </row>
    <row r="24" spans="1:15" ht="24.75" customHeight="1" thickBot="1">
      <c r="A24" s="1332">
        <v>7</v>
      </c>
      <c r="B24" s="1333" t="s">
        <v>62</v>
      </c>
      <c r="C24" s="1328">
        <f>T_2_kiadás_2013!C27</f>
        <v>264000</v>
      </c>
      <c r="D24" s="1328">
        <f>T_2_kiadás_2013!D27</f>
        <v>103074</v>
      </c>
      <c r="E24" s="1328">
        <f>T_2_kiadás_2013!E27</f>
        <v>0</v>
      </c>
      <c r="F24" s="932">
        <f t="shared" si="0"/>
        <v>0</v>
      </c>
      <c r="G24" s="1324"/>
      <c r="H24" s="926"/>
      <c r="I24" s="1339"/>
      <c r="J24" s="1339"/>
      <c r="K24" s="1340"/>
      <c r="L24" s="1496"/>
      <c r="M24" s="1341" t="s">
        <v>549</v>
      </c>
      <c r="N24" s="1341"/>
      <c r="O24" s="1341"/>
    </row>
    <row r="25" spans="1:15" ht="16.5" customHeight="1" thickBot="1">
      <c r="A25" s="2182" t="s">
        <v>174</v>
      </c>
      <c r="B25" s="1342" t="s">
        <v>77</v>
      </c>
      <c r="C25" s="1343"/>
      <c r="D25" s="1343"/>
      <c r="E25" s="1344"/>
      <c r="F25" s="1338"/>
      <c r="G25" s="2183" t="s">
        <v>174</v>
      </c>
      <c r="H25" s="1346" t="s">
        <v>987</v>
      </c>
      <c r="I25" s="1347"/>
      <c r="J25" s="1347"/>
      <c r="K25" s="1344"/>
      <c r="L25" s="1439"/>
      <c r="M25" s="1437" t="s">
        <v>217</v>
      </c>
      <c r="N25" s="933" t="s">
        <v>1042</v>
      </c>
      <c r="O25" s="607" t="s">
        <v>302</v>
      </c>
    </row>
    <row r="26" spans="1:15" ht="16.5" customHeight="1" thickBot="1">
      <c r="A26" s="2182"/>
      <c r="B26" s="1348" t="s">
        <v>879</v>
      </c>
      <c r="C26" s="1345">
        <f>SUM(C14:C25)-C18</f>
        <v>11340795</v>
      </c>
      <c r="D26" s="1345">
        <f>SUM(D14:D25)-D18</f>
        <v>12723357.33</v>
      </c>
      <c r="E26" s="1345">
        <f>SUM(E14:E25)-E18</f>
        <v>11387540.173</v>
      </c>
      <c r="F26" s="931">
        <f>E26/D26*100</f>
        <v>89.50106389097225</v>
      </c>
      <c r="G26" s="2183"/>
      <c r="H26" s="1349" t="s">
        <v>879</v>
      </c>
      <c r="I26" s="1345">
        <f>SUM(I14:I24)</f>
        <v>12721787</v>
      </c>
      <c r="J26" s="1345">
        <f>SUM(J14:J24)</f>
        <v>14156763.112</v>
      </c>
      <c r="K26" s="1345">
        <f>SUM(K14:K24)</f>
        <v>14463701.787</v>
      </c>
      <c r="L26" s="935">
        <f>K26/J26*100</f>
        <v>102.16814163359011</v>
      </c>
      <c r="M26" s="1438">
        <f>I26-C26</f>
        <v>1380992</v>
      </c>
      <c r="N26" s="1435">
        <f>J26-D26</f>
        <v>1433405.7819999997</v>
      </c>
      <c r="O26" s="1436">
        <f>K26-E26</f>
        <v>3076161.614</v>
      </c>
    </row>
    <row r="27" spans="1:15" ht="24.75" customHeight="1">
      <c r="A27" s="1332">
        <v>8</v>
      </c>
      <c r="B27" s="1333" t="s">
        <v>1054</v>
      </c>
      <c r="C27" s="1350">
        <f>T_2_kiadás_2013!C29</f>
        <v>27940</v>
      </c>
      <c r="D27" s="1350">
        <f>T_2_kiadás_2013!D29</f>
        <v>118637</v>
      </c>
      <c r="E27" s="1350">
        <f>T_2_kiadás_2013!E29</f>
        <v>98033.763</v>
      </c>
      <c r="F27" s="932">
        <f aca="true" t="shared" si="2" ref="F27:F34">E27/D27*100</f>
        <v>82.63337997420705</v>
      </c>
      <c r="G27" s="1324">
        <v>10</v>
      </c>
      <c r="H27" s="1325" t="s">
        <v>1075</v>
      </c>
      <c r="I27" s="1351">
        <f>T_3_bevétel_2013!C55+T_3_bevétel_2013!C64+T_3_bevétel_2013!C71</f>
        <v>899682</v>
      </c>
      <c r="J27" s="1351">
        <f>T_3_bevétel_2013!D55+T_3_bevétel_2013!D64+T_3_bevétel_2013!D71</f>
        <v>597645</v>
      </c>
      <c r="K27" s="1351">
        <f>T_3_bevétel_2013!E55+T_3_bevétel_2013!E64+T_3_bevétel_2013!E71</f>
        <v>611797.4010000001</v>
      </c>
      <c r="L27" s="934">
        <f aca="true" t="shared" si="3" ref="L27:L33">K27/J27*100</f>
        <v>102.36802800993902</v>
      </c>
      <c r="M27" s="1353"/>
      <c r="N27" s="1353"/>
      <c r="O27" s="1353"/>
    </row>
    <row r="28" spans="1:15" ht="24.75" customHeight="1">
      <c r="A28" s="1332">
        <v>9</v>
      </c>
      <c r="B28" s="1333" t="s">
        <v>460</v>
      </c>
      <c r="C28" s="1328">
        <f>T_2_kiadás_2013!C30</f>
        <v>1776056</v>
      </c>
      <c r="D28" s="1328">
        <f>T_2_kiadás_2013!D30</f>
        <v>3389078.6159999995</v>
      </c>
      <c r="E28" s="1328">
        <f>T_2_kiadás_2013!E30</f>
        <v>2083652.697</v>
      </c>
      <c r="F28" s="932">
        <f t="shared" si="2"/>
        <v>61.4813916432324</v>
      </c>
      <c r="G28" s="1324">
        <v>11</v>
      </c>
      <c r="H28" s="1331" t="s">
        <v>828</v>
      </c>
      <c r="I28" s="1354">
        <f>T_3_bevétel_2013!C48</f>
        <v>0</v>
      </c>
      <c r="J28" s="1354">
        <f>T_3_bevétel_2013!D48</f>
        <v>65651.535</v>
      </c>
      <c r="K28" s="1354">
        <f>T_3_bevétel_2013!E48</f>
        <v>65651.535</v>
      </c>
      <c r="L28" s="934">
        <f t="shared" si="3"/>
        <v>100</v>
      </c>
      <c r="M28" s="1425"/>
      <c r="N28" s="1425"/>
      <c r="O28" s="926"/>
    </row>
    <row r="29" spans="1:15" ht="24.75" customHeight="1">
      <c r="A29" s="1332">
        <v>10</v>
      </c>
      <c r="B29" s="1296" t="s">
        <v>818</v>
      </c>
      <c r="C29" s="1356">
        <f>SUM(C30:C33)</f>
        <v>166474</v>
      </c>
      <c r="D29" s="1356">
        <f>SUM(D30:D33)</f>
        <v>325583</v>
      </c>
      <c r="E29" s="1328">
        <f>SUM(E30:E33)</f>
        <v>189731.627</v>
      </c>
      <c r="F29" s="932">
        <f t="shared" si="2"/>
        <v>58.274426797467925</v>
      </c>
      <c r="G29" s="1324">
        <v>12</v>
      </c>
      <c r="H29" s="1331" t="s">
        <v>829</v>
      </c>
      <c r="I29" s="1357">
        <f>T_3_bevétel_2013!C52</f>
        <v>250568</v>
      </c>
      <c r="J29" s="1357">
        <f>T_3_bevétel_2013!D52</f>
        <v>21822.842</v>
      </c>
      <c r="K29" s="1357">
        <f>T_3_bevétel_2013!E52</f>
        <v>21823.167999999998</v>
      </c>
      <c r="L29" s="934">
        <f t="shared" si="3"/>
        <v>100.00149384759325</v>
      </c>
      <c r="M29" s="1425"/>
      <c r="N29" s="1425"/>
      <c r="O29" s="926"/>
    </row>
    <row r="30" spans="1:15" ht="24.75" customHeight="1">
      <c r="A30" s="1332"/>
      <c r="B30" s="1298" t="s">
        <v>819</v>
      </c>
      <c r="C30" s="1334">
        <f>T_2_kiadás_2013!C19</f>
        <v>25524</v>
      </c>
      <c r="D30" s="1334">
        <f>T_2_kiadás_2013!D19</f>
        <v>82019</v>
      </c>
      <c r="E30" s="1334">
        <f>T_2_kiadás_2013!E19</f>
        <v>58813.389</v>
      </c>
      <c r="F30" s="932">
        <f t="shared" si="2"/>
        <v>71.70703007839647</v>
      </c>
      <c r="G30" s="1324">
        <v>13</v>
      </c>
      <c r="H30" s="1325" t="s">
        <v>830</v>
      </c>
      <c r="I30" s="1357">
        <f>T_3_bevétel_2013!C83</f>
        <v>0</v>
      </c>
      <c r="J30" s="1357">
        <f>T_3_bevétel_2013!D83</f>
        <v>79.405</v>
      </c>
      <c r="K30" s="1357">
        <f>T_3_bevétel_2013!E83</f>
        <v>79</v>
      </c>
      <c r="L30" s="934">
        <f t="shared" si="3"/>
        <v>99.48995655185442</v>
      </c>
      <c r="M30" s="1425"/>
      <c r="N30" s="1425"/>
      <c r="O30" s="926"/>
    </row>
    <row r="31" spans="1:15" ht="24.75" customHeight="1">
      <c r="A31" s="1332"/>
      <c r="B31" s="1298" t="s">
        <v>820</v>
      </c>
      <c r="C31" s="1334">
        <f>T_2_kiadás_2013!C22</f>
        <v>110950</v>
      </c>
      <c r="D31" s="1334">
        <f>T_2_kiadás_2013!D22</f>
        <v>201163</v>
      </c>
      <c r="E31" s="1334">
        <f>T_2_kiadás_2013!E22</f>
        <v>102965</v>
      </c>
      <c r="F31" s="932">
        <f t="shared" si="2"/>
        <v>51.18486003887395</v>
      </c>
      <c r="G31" s="1324">
        <v>14</v>
      </c>
      <c r="H31" s="925" t="s">
        <v>1077</v>
      </c>
      <c r="I31" s="1351">
        <f>T_3_bevétel_2013!C77</f>
        <v>26300</v>
      </c>
      <c r="J31" s="1351">
        <f>T_3_bevétel_2013!D77</f>
        <v>30160.09</v>
      </c>
      <c r="K31" s="1351">
        <f>T_3_bevétel_2013!E77</f>
        <v>30572</v>
      </c>
      <c r="L31" s="934">
        <f t="shared" si="3"/>
        <v>101.36574526137024</v>
      </c>
      <c r="M31" s="1425"/>
      <c r="N31" s="1425"/>
      <c r="O31" s="926"/>
    </row>
    <row r="32" spans="1:15" ht="24.75" customHeight="1">
      <c r="A32" s="1332"/>
      <c r="B32" s="1298" t="s">
        <v>831</v>
      </c>
      <c r="C32" s="1334">
        <v>15000</v>
      </c>
      <c r="D32" s="1334">
        <v>17594</v>
      </c>
      <c r="E32" s="1334">
        <v>17593.238</v>
      </c>
      <c r="F32" s="932">
        <f t="shared" si="2"/>
        <v>99.99566897806072</v>
      </c>
      <c r="G32" s="1336">
        <v>15</v>
      </c>
      <c r="H32" s="1358" t="s">
        <v>832</v>
      </c>
      <c r="I32" s="1357">
        <f>T_3_bevétel_2013!C86</f>
        <v>0</v>
      </c>
      <c r="J32" s="1357">
        <f>T_3_bevétel_2013!D86</f>
        <v>58679</v>
      </c>
      <c r="K32" s="1357">
        <f>T_3_bevétel_2013!E86</f>
        <v>57364</v>
      </c>
      <c r="L32" s="934">
        <f t="shared" si="3"/>
        <v>97.75899384788426</v>
      </c>
      <c r="M32" s="1425"/>
      <c r="N32" s="1425"/>
      <c r="O32" s="926"/>
    </row>
    <row r="33" spans="1:15" ht="24.75" customHeight="1">
      <c r="A33" s="1332"/>
      <c r="B33" s="1297" t="s">
        <v>833</v>
      </c>
      <c r="C33" s="1334">
        <f>T_2_kiadás_2013!C33</f>
        <v>15000</v>
      </c>
      <c r="D33" s="1334">
        <f>T_2_kiadás_2013!D33</f>
        <v>24807</v>
      </c>
      <c r="E33" s="1334">
        <f>T_2_kiadás_2013!E33</f>
        <v>10360</v>
      </c>
      <c r="F33" s="932">
        <f t="shared" si="2"/>
        <v>41.76240577256419</v>
      </c>
      <c r="G33" s="1336">
        <v>16</v>
      </c>
      <c r="H33" s="1358" t="s">
        <v>834</v>
      </c>
      <c r="I33" s="1351">
        <f>'5.tábla'!DN92</f>
        <v>0</v>
      </c>
      <c r="J33" s="1351">
        <f>'5.tábla'!DO92</f>
        <v>1655782</v>
      </c>
      <c r="K33" s="1351">
        <f>'5.tábla'!DP92</f>
        <v>750511.3690000001</v>
      </c>
      <c r="L33" s="934">
        <f t="shared" si="3"/>
        <v>45.32670176387955</v>
      </c>
      <c r="M33" s="1425"/>
      <c r="N33" s="1425"/>
      <c r="O33" s="926"/>
    </row>
    <row r="34" spans="1:15" ht="24.75" customHeight="1" thickBot="1">
      <c r="A34" s="1332">
        <v>11</v>
      </c>
      <c r="B34" s="1333" t="s">
        <v>179</v>
      </c>
      <c r="C34" s="1328">
        <f>T_2_kiadás_2013!C28</f>
        <v>1350175</v>
      </c>
      <c r="D34" s="1328">
        <f>T_2_kiadás_2013!D28</f>
        <v>1564495</v>
      </c>
      <c r="E34" s="1328">
        <f>T_2_kiadás_2013!E28</f>
        <v>0</v>
      </c>
      <c r="F34" s="932">
        <f t="shared" si="2"/>
        <v>0</v>
      </c>
      <c r="G34" s="1336"/>
      <c r="H34" s="1358"/>
      <c r="I34" s="1351"/>
      <c r="J34" s="1352"/>
      <c r="K34" s="1352"/>
      <c r="L34" s="1440"/>
      <c r="M34" s="926" t="s">
        <v>550</v>
      </c>
      <c r="N34" s="926"/>
      <c r="O34" s="926"/>
    </row>
    <row r="35" spans="1:15" ht="21.75" customHeight="1">
      <c r="A35" s="2178" t="s">
        <v>457</v>
      </c>
      <c r="B35" s="1360" t="s">
        <v>78</v>
      </c>
      <c r="C35" s="1362"/>
      <c r="D35" s="1361"/>
      <c r="E35" s="1363"/>
      <c r="F35" s="1359"/>
      <c r="G35" s="2184" t="s">
        <v>457</v>
      </c>
      <c r="H35" s="1363" t="s">
        <v>79</v>
      </c>
      <c r="I35" s="1365"/>
      <c r="J35" s="1365"/>
      <c r="K35" s="1363"/>
      <c r="L35" s="1441"/>
      <c r="M35" s="1437" t="s">
        <v>217</v>
      </c>
      <c r="N35" s="933" t="s">
        <v>1042</v>
      </c>
      <c r="O35" s="607" t="s">
        <v>302</v>
      </c>
    </row>
    <row r="36" spans="1:21" s="917" customFormat="1" ht="16.5" customHeight="1" thickBot="1">
      <c r="A36" s="2179"/>
      <c r="B36" s="1366" t="s">
        <v>879</v>
      </c>
      <c r="C36" s="1364">
        <f>SUM(C27:C34)-C29</f>
        <v>3320645</v>
      </c>
      <c r="D36" s="1364">
        <f>SUM(D27:D34)-D29</f>
        <v>5397793.615999999</v>
      </c>
      <c r="E36" s="1364">
        <f>SUM(E27:E34)-E29</f>
        <v>2371418.087</v>
      </c>
      <c r="F36" s="931">
        <f>E36/D36*100</f>
        <v>43.933100368467294</v>
      </c>
      <c r="G36" s="2185"/>
      <c r="H36" s="1364" t="s">
        <v>879</v>
      </c>
      <c r="I36" s="1364">
        <f>SUM(I27:I35)</f>
        <v>1176550</v>
      </c>
      <c r="J36" s="1364">
        <f>SUM(J27:J35)</f>
        <v>2429819.872</v>
      </c>
      <c r="K36" s="1364">
        <f>SUM(K27:K35)</f>
        <v>1537798.4730000002</v>
      </c>
      <c r="L36" s="935">
        <f>K36/J36*100</f>
        <v>63.2885791543975</v>
      </c>
      <c r="M36" s="1438">
        <f>I36-C36</f>
        <v>-2144095</v>
      </c>
      <c r="N36" s="1435">
        <f>J36-D36</f>
        <v>-2967973.7439999995</v>
      </c>
      <c r="O36" s="1436">
        <f>K36-E36</f>
        <v>-833619.6139999996</v>
      </c>
      <c r="P36" s="918"/>
      <c r="Q36" s="918"/>
      <c r="S36" s="918"/>
      <c r="T36" s="918"/>
      <c r="U36" s="918"/>
    </row>
    <row r="37" spans="1:21" ht="16.5" customHeight="1" thickBot="1">
      <c r="A37" s="1369"/>
      <c r="B37" s="1370"/>
      <c r="C37" s="1371"/>
      <c r="D37" s="1367"/>
      <c r="E37" s="1367"/>
      <c r="F37" s="1368"/>
      <c r="G37" s="1373"/>
      <c r="H37" s="1367"/>
      <c r="I37" s="1367"/>
      <c r="J37" s="1367"/>
      <c r="K37" s="1367"/>
      <c r="L37" s="1442"/>
      <c r="M37" s="1426"/>
      <c r="N37" s="1426"/>
      <c r="O37" s="1426"/>
      <c r="Q37" s="917"/>
      <c r="S37" s="917"/>
      <c r="T37" s="917"/>
      <c r="U37" s="917"/>
    </row>
    <row r="38" spans="1:16" ht="16.5" customHeight="1" thickBot="1">
      <c r="A38" s="2174" t="s">
        <v>5</v>
      </c>
      <c r="B38" s="1374" t="s">
        <v>80</v>
      </c>
      <c r="C38" s="1376"/>
      <c r="D38" s="1375"/>
      <c r="E38" s="1377"/>
      <c r="F38" s="1372"/>
      <c r="G38" s="2176" t="s">
        <v>5</v>
      </c>
      <c r="H38" s="1379" t="s">
        <v>81</v>
      </c>
      <c r="I38" s="1380"/>
      <c r="J38" s="1380"/>
      <c r="K38" s="1377"/>
      <c r="L38" s="1443"/>
      <c r="M38" s="1437" t="s">
        <v>217</v>
      </c>
      <c r="N38" s="933" t="s">
        <v>1042</v>
      </c>
      <c r="O38" s="607" t="s">
        <v>302</v>
      </c>
      <c r="P38" s="917"/>
    </row>
    <row r="39" spans="1:15" ht="16.5" customHeight="1" thickBot="1">
      <c r="A39" s="2175"/>
      <c r="B39" s="1381" t="s">
        <v>835</v>
      </c>
      <c r="C39" s="1378">
        <f>C26+C36</f>
        <v>14661440</v>
      </c>
      <c r="D39" s="1378">
        <f>D26+D36</f>
        <v>18121150.946</v>
      </c>
      <c r="E39" s="1378">
        <f>E26+E36</f>
        <v>13758958.26</v>
      </c>
      <c r="F39" s="931">
        <f>E39/D39*100</f>
        <v>75.92761795870977</v>
      </c>
      <c r="G39" s="2177"/>
      <c r="H39" s="1383" t="s">
        <v>835</v>
      </c>
      <c r="I39" s="1378">
        <f>I26+I36</f>
        <v>13898337</v>
      </c>
      <c r="J39" s="1378">
        <f>J26+J36</f>
        <v>16586582.984</v>
      </c>
      <c r="K39" s="1378">
        <f>K26+K36</f>
        <v>16001500.260000002</v>
      </c>
      <c r="L39" s="935">
        <f>K39/J39*100</f>
        <v>96.47255420501986</v>
      </c>
      <c r="M39" s="1438">
        <f>I39-C39</f>
        <v>-763103</v>
      </c>
      <c r="N39" s="1438">
        <f>J39-D39</f>
        <v>-1534567.9619999994</v>
      </c>
      <c r="O39" s="1436">
        <f>K39-E39</f>
        <v>2242542.000000002</v>
      </c>
    </row>
    <row r="40" spans="1:15" ht="24.75" customHeight="1">
      <c r="A40" s="1369"/>
      <c r="B40" s="1370"/>
      <c r="C40" s="1371"/>
      <c r="D40" s="1367"/>
      <c r="E40" s="1367"/>
      <c r="F40" s="1368"/>
      <c r="G40" s="1384">
        <v>17</v>
      </c>
      <c r="H40" s="1385" t="s">
        <v>836</v>
      </c>
      <c r="I40" s="1354">
        <f>'5.tábla'!DN93</f>
        <v>0</v>
      </c>
      <c r="J40" s="1354">
        <f>'5.tábla'!DO93</f>
        <v>5785</v>
      </c>
      <c r="K40" s="1354">
        <f>'5.tábla'!DP93</f>
        <v>0</v>
      </c>
      <c r="L40" s="934">
        <f>K40/J40*100</f>
        <v>0</v>
      </c>
      <c r="M40" s="1427"/>
      <c r="N40" s="1427"/>
      <c r="O40" s="1386"/>
    </row>
    <row r="41" spans="1:15" ht="24.75" customHeight="1" thickBot="1">
      <c r="A41" s="1369"/>
      <c r="B41" s="1370"/>
      <c r="C41" s="1371"/>
      <c r="D41" s="1367"/>
      <c r="E41" s="1367"/>
      <c r="F41" s="1368"/>
      <c r="G41" s="1387">
        <v>18</v>
      </c>
      <c r="H41" s="1388" t="s">
        <v>837</v>
      </c>
      <c r="I41" s="1355">
        <f>'5.tábla'!DN94</f>
        <v>850000</v>
      </c>
      <c r="J41" s="1355">
        <f>'5.tábla'!DO94</f>
        <v>2407576</v>
      </c>
      <c r="K41" s="1355">
        <f>'5.tábla'!DP94</f>
        <v>749990.908</v>
      </c>
      <c r="L41" s="934">
        <f>K41/J41*100</f>
        <v>31.15128693756708</v>
      </c>
      <c r="M41" s="1426"/>
      <c r="N41" s="1426"/>
      <c r="O41" s="1389"/>
    </row>
    <row r="42" spans="1:21" s="917" customFormat="1" ht="21.75" customHeight="1" thickBot="1">
      <c r="A42" s="1390"/>
      <c r="B42" s="1391"/>
      <c r="C42" s="1393"/>
      <c r="D42" s="1392"/>
      <c r="E42" s="1409"/>
      <c r="F42" s="1452"/>
      <c r="G42" s="1394" t="s">
        <v>541</v>
      </c>
      <c r="H42" s="1395" t="s">
        <v>82</v>
      </c>
      <c r="I42" s="1396">
        <f>SUM(I40:I41)</f>
        <v>850000</v>
      </c>
      <c r="J42" s="1396">
        <f>SUM(J40:J41)</f>
        <v>2413361</v>
      </c>
      <c r="K42" s="1396">
        <f>SUM(K40:K41)</f>
        <v>749990.908</v>
      </c>
      <c r="L42" s="1444"/>
      <c r="M42" s="1501">
        <f>I42-C42</f>
        <v>850000</v>
      </c>
      <c r="N42" s="1501">
        <f>J42-D42</f>
        <v>2413361</v>
      </c>
      <c r="O42" s="1502">
        <f>K42-E42</f>
        <v>749990.908</v>
      </c>
      <c r="P42" s="918"/>
      <c r="Q42" s="918"/>
      <c r="S42" s="918"/>
      <c r="T42" s="918"/>
      <c r="U42" s="918"/>
    </row>
    <row r="43" spans="1:21" ht="24.75" customHeight="1">
      <c r="A43" s="1397">
        <v>12</v>
      </c>
      <c r="B43" s="1398" t="s">
        <v>838</v>
      </c>
      <c r="C43" s="1327">
        <f>T_2_kiadás_2013!C35</f>
        <v>0</v>
      </c>
      <c r="D43" s="1327">
        <f>T_2_kiadás_2013!D35</f>
        <v>750000</v>
      </c>
      <c r="E43" s="1327">
        <f>T_2_kiadás_2013!E35</f>
        <v>749991</v>
      </c>
      <c r="F43" s="2001">
        <f>E43/D43*100</f>
        <v>99.9988</v>
      </c>
      <c r="G43" s="1384">
        <v>19</v>
      </c>
      <c r="H43" s="1399" t="s">
        <v>839</v>
      </c>
      <c r="I43" s="1400"/>
      <c r="J43" s="1400"/>
      <c r="K43" s="1400"/>
      <c r="L43" s="1445"/>
      <c r="M43" s="1428"/>
      <c r="N43" s="1428"/>
      <c r="O43" s="1401"/>
      <c r="P43" s="917"/>
      <c r="Q43" s="917"/>
      <c r="S43" s="917"/>
      <c r="T43" s="917"/>
      <c r="U43" s="917"/>
    </row>
    <row r="44" spans="1:15" ht="24.75" customHeight="1" thickBot="1">
      <c r="A44" s="1402">
        <v>13</v>
      </c>
      <c r="B44" s="1403" t="s">
        <v>551</v>
      </c>
      <c r="C44" s="1404">
        <f>T_2_kiadás_2013!C36</f>
        <v>86897</v>
      </c>
      <c r="D44" s="1404">
        <f>T_2_kiadás_2013!D36</f>
        <v>128793</v>
      </c>
      <c r="E44" s="1404">
        <f>T_2_kiadás_2013!E36</f>
        <v>128793</v>
      </c>
      <c r="F44" s="1493">
        <f>E44/D44*100</f>
        <v>100</v>
      </c>
      <c r="G44" s="1405">
        <v>20</v>
      </c>
      <c r="H44" s="1406" t="s">
        <v>552</v>
      </c>
      <c r="I44" s="1407"/>
      <c r="J44" s="1407"/>
      <c r="K44" s="1407"/>
      <c r="L44" s="1442"/>
      <c r="M44" s="1429"/>
      <c r="N44" s="1429"/>
      <c r="O44" s="1408"/>
    </row>
    <row r="45" spans="1:21" s="917" customFormat="1" ht="16.5" customHeight="1" thickBot="1">
      <c r="A45" s="1390" t="s">
        <v>541</v>
      </c>
      <c r="B45" s="1391" t="s">
        <v>83</v>
      </c>
      <c r="C45" s="1410">
        <f>SUM(C43:C44)</f>
        <v>86897</v>
      </c>
      <c r="D45" s="1410">
        <f>SUM(D43:D44)</f>
        <v>878793</v>
      </c>
      <c r="E45" s="1409">
        <f>SUM(E43:E44)</f>
        <v>878784</v>
      </c>
      <c r="F45" s="1494">
        <f>E45/D45*100</f>
        <v>99.99897586803719</v>
      </c>
      <c r="G45" s="1394" t="s">
        <v>542</v>
      </c>
      <c r="H45" s="1395" t="s">
        <v>84</v>
      </c>
      <c r="I45" s="1396"/>
      <c r="J45" s="1396"/>
      <c r="K45" s="1396"/>
      <c r="L45" s="1446"/>
      <c r="M45" s="1501">
        <f>I45-C45</f>
        <v>-86897</v>
      </c>
      <c r="N45" s="1501">
        <f>J45-D45</f>
        <v>-878793</v>
      </c>
      <c r="O45" s="1502">
        <f>K45-E45</f>
        <v>-878784</v>
      </c>
      <c r="P45" s="918"/>
      <c r="S45" s="918"/>
      <c r="T45" s="918"/>
      <c r="U45" s="918"/>
    </row>
    <row r="46" spans="1:16" s="917" customFormat="1" ht="16.5" customHeight="1" thickBot="1">
      <c r="A46" s="1369"/>
      <c r="B46" s="1411"/>
      <c r="C46" s="1412"/>
      <c r="D46" s="1335"/>
      <c r="E46" s="1449"/>
      <c r="F46" s="1454"/>
      <c r="G46" s="1413"/>
      <c r="H46" s="1414"/>
      <c r="I46" s="1367"/>
      <c r="J46" s="1367"/>
      <c r="K46" s="1367"/>
      <c r="L46" s="1447"/>
      <c r="M46" s="1415"/>
      <c r="N46" s="1415"/>
      <c r="O46" s="1415"/>
      <c r="P46" s="918"/>
    </row>
    <row r="47" spans="1:21" ht="24.75" customHeight="1" thickBot="1">
      <c r="A47" s="1416" t="s">
        <v>542</v>
      </c>
      <c r="B47" s="1417" t="s">
        <v>189</v>
      </c>
      <c r="C47" s="1419"/>
      <c r="D47" s="1418"/>
      <c r="E47" s="1450">
        <f>T_2_kiadás_2013!E38</f>
        <v>-88198</v>
      </c>
      <c r="F47" s="1455"/>
      <c r="G47" s="1420" t="s">
        <v>904</v>
      </c>
      <c r="H47" s="1421" t="s">
        <v>191</v>
      </c>
      <c r="I47" s="1422"/>
      <c r="J47" s="1422"/>
      <c r="K47" s="1422">
        <f>'5.tábla'!DP95</f>
        <v>-75850</v>
      </c>
      <c r="L47" s="1447"/>
      <c r="M47" s="1028"/>
      <c r="N47" s="1028"/>
      <c r="O47" s="1028"/>
      <c r="P47" s="917"/>
      <c r="Q47" s="917"/>
      <c r="S47" s="917"/>
      <c r="T47" s="917"/>
      <c r="U47" s="917"/>
    </row>
    <row r="48" spans="1:16" ht="16.5" customHeight="1" thickBot="1">
      <c r="A48" s="1369"/>
      <c r="B48" s="1411"/>
      <c r="C48" s="1412"/>
      <c r="D48" s="1335"/>
      <c r="E48" s="1449"/>
      <c r="F48" s="1456"/>
      <c r="G48" s="1413"/>
      <c r="H48" s="1414"/>
      <c r="I48" s="1367"/>
      <c r="J48" s="1367"/>
      <c r="K48" s="1367"/>
      <c r="L48" s="1448"/>
      <c r="M48" s="1423"/>
      <c r="N48" s="1423"/>
      <c r="O48" s="1423"/>
      <c r="P48" s="917"/>
    </row>
    <row r="49" spans="1:16" ht="16.5" customHeight="1" thickBot="1">
      <c r="A49" s="2174" t="s">
        <v>904</v>
      </c>
      <c r="B49" s="1374" t="s">
        <v>905</v>
      </c>
      <c r="C49" s="1376"/>
      <c r="D49" s="1375"/>
      <c r="E49" s="1451"/>
      <c r="F49" s="1457"/>
      <c r="G49" s="2176" t="s">
        <v>111</v>
      </c>
      <c r="H49" s="1379" t="s">
        <v>906</v>
      </c>
      <c r="I49" s="1380"/>
      <c r="J49" s="1380"/>
      <c r="K49" s="1377"/>
      <c r="L49" s="1443"/>
      <c r="M49" s="1437" t="s">
        <v>217</v>
      </c>
      <c r="N49" s="933" t="s">
        <v>1042</v>
      </c>
      <c r="O49" s="607" t="s">
        <v>302</v>
      </c>
      <c r="P49" s="917"/>
    </row>
    <row r="50" spans="1:15" ht="15.75" thickBot="1">
      <c r="A50" s="2175"/>
      <c r="B50" s="1381" t="s">
        <v>840</v>
      </c>
      <c r="C50" s="1378">
        <f>C39+C42+C45+C47</f>
        <v>14748337</v>
      </c>
      <c r="D50" s="1378">
        <f>D39+D42+D45+D47</f>
        <v>18999943.946</v>
      </c>
      <c r="E50" s="1382">
        <f>E39+E42+E45+E47</f>
        <v>14549544.26</v>
      </c>
      <c r="F50" s="1453">
        <f>E50/D50*100</f>
        <v>76.57677465444877</v>
      </c>
      <c r="G50" s="2177"/>
      <c r="H50" s="1383" t="s">
        <v>841</v>
      </c>
      <c r="I50" s="1378">
        <f>I39+I42+I45+I47</f>
        <v>14748337</v>
      </c>
      <c r="J50" s="1378">
        <f>J39+J42+J45+J47</f>
        <v>18999943.983999997</v>
      </c>
      <c r="K50" s="1378">
        <f>K39+K42+K45+K47</f>
        <v>16675641.168000001</v>
      </c>
      <c r="L50" s="935">
        <f>K50/J50*100</f>
        <v>87.76679121813564</v>
      </c>
      <c r="M50" s="1438">
        <f>I50-C50</f>
        <v>0</v>
      </c>
      <c r="N50" s="1438">
        <f>J50-D50</f>
        <v>0.03799999877810478</v>
      </c>
      <c r="O50" s="1436">
        <f>K50-E50</f>
        <v>2126096.9080000017</v>
      </c>
    </row>
    <row r="51" spans="8:12" ht="12.75">
      <c r="H51" s="921"/>
      <c r="J51" s="1424"/>
      <c r="K51" s="927"/>
      <c r="L51" s="928"/>
    </row>
    <row r="52" spans="10:15" ht="12.75">
      <c r="J52" s="928"/>
      <c r="K52" s="928"/>
      <c r="O52" s="928"/>
    </row>
    <row r="53" ht="12.75">
      <c r="O53" s="928"/>
    </row>
  </sheetData>
  <sheetProtection/>
  <mergeCells count="10">
    <mergeCell ref="A49:A50"/>
    <mergeCell ref="G49:G50"/>
    <mergeCell ref="A38:A39"/>
    <mergeCell ref="G38:G39"/>
    <mergeCell ref="A35:A36"/>
    <mergeCell ref="A5:L5"/>
    <mergeCell ref="A6:L6"/>
    <mergeCell ref="A25:A26"/>
    <mergeCell ref="G25:G26"/>
    <mergeCell ref="G35:G36"/>
  </mergeCells>
  <printOptions horizontalCentered="1" verticalCentered="1"/>
  <pageMargins left="0.15748031496062992" right="0.15748031496062992" top="0.4330708661417323" bottom="0.4724409448818898" header="0.15748031496062992" footer="0.1968503937007874"/>
  <pageSetup horizontalDpi="600" verticalDpi="600" orientation="landscape" paperSize="9" scale="55" r:id="rId3"/>
  <colBreaks count="1" manualBreakCount="1">
    <brk id="15" min="1" max="4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2"/>
  <sheetViews>
    <sheetView zoomScale="110" zoomScaleNormal="110" zoomScalePageLayoutView="0" workbookViewId="0" topLeftCell="J1">
      <selection activeCell="R2" sqref="R2"/>
    </sheetView>
  </sheetViews>
  <sheetFormatPr defaultColWidth="9.00390625" defaultRowHeight="12.75"/>
  <cols>
    <col min="1" max="1" width="3.875" style="1006" customWidth="1"/>
    <col min="2" max="2" width="30.75390625" style="1006" customWidth="1"/>
    <col min="3" max="3" width="11.875" style="1006" customWidth="1"/>
    <col min="4" max="4" width="11.75390625" style="1006" customWidth="1"/>
    <col min="5" max="5" width="12.75390625" style="1006" customWidth="1"/>
    <col min="6" max="18" width="11.25390625" style="1006" customWidth="1"/>
    <col min="19" max="19" width="7.75390625" style="1006" customWidth="1"/>
    <col min="20" max="20" width="8.75390625" style="1006" customWidth="1"/>
    <col min="21" max="22" width="7.75390625" style="1006" customWidth="1"/>
    <col min="23" max="16384" width="9.125" style="1006" customWidth="1"/>
  </cols>
  <sheetData>
    <row r="1" spans="16:18" ht="12.75">
      <c r="P1" s="1007"/>
      <c r="Q1" s="1612"/>
      <c r="R1" s="2011" t="s">
        <v>1263</v>
      </c>
    </row>
    <row r="2" spans="16:18" ht="12.75">
      <c r="P2" s="1007"/>
      <c r="Q2" s="1007"/>
      <c r="R2" s="2011" t="s">
        <v>71</v>
      </c>
    </row>
    <row r="3" spans="16:18" ht="12.75">
      <c r="P3" s="1007"/>
      <c r="Q3" s="1007"/>
      <c r="R3" s="558"/>
    </row>
    <row r="4" spans="16:18" ht="12.75">
      <c r="P4" s="1007"/>
      <c r="Q4" s="1007"/>
      <c r="R4" s="558"/>
    </row>
    <row r="5" spans="1:22" ht="15.75">
      <c r="A5" s="2281" t="s">
        <v>1221</v>
      </c>
      <c r="B5" s="2281"/>
      <c r="C5" s="2281"/>
      <c r="D5" s="2281"/>
      <c r="E5" s="2281"/>
      <c r="F5" s="2281"/>
      <c r="G5" s="2281"/>
      <c r="H5" s="2281"/>
      <c r="I5" s="2281"/>
      <c r="J5" s="2281"/>
      <c r="K5" s="2281"/>
      <c r="L5" s="2281"/>
      <c r="M5" s="2281"/>
      <c r="N5" s="2281"/>
      <c r="O5" s="2281"/>
      <c r="P5" s="2281"/>
      <c r="Q5" s="2281"/>
      <c r="R5" s="2281"/>
      <c r="S5" s="1009"/>
      <c r="T5" s="1009"/>
      <c r="U5" s="1009"/>
      <c r="V5" s="1009"/>
    </row>
    <row r="6" spans="1:21" ht="12.75" hidden="1">
      <c r="A6" s="1008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10"/>
    </row>
    <row r="7" spans="1:21" ht="12.75">
      <c r="A7" s="1008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11"/>
      <c r="S7" s="1009"/>
      <c r="T7" s="1009"/>
      <c r="U7" s="1010"/>
    </row>
    <row r="8" spans="1:21" ht="12.75">
      <c r="A8" s="1008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11"/>
      <c r="S8" s="1009"/>
      <c r="T8" s="1009"/>
      <c r="U8" s="1010"/>
    </row>
    <row r="9" spans="1:21" ht="12.75">
      <c r="A9" s="1008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11"/>
      <c r="S9" s="1009"/>
      <c r="T9" s="1009"/>
      <c r="U9" s="1010"/>
    </row>
    <row r="10" spans="1:21" ht="13.5" thickBot="1">
      <c r="A10" s="1008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789" t="s">
        <v>1011</v>
      </c>
      <c r="S10" s="1692"/>
      <c r="T10" s="1692"/>
      <c r="U10" s="1693"/>
    </row>
    <row r="11" spans="1:21" ht="13.5" thickBot="1">
      <c r="A11" s="1783"/>
      <c r="B11" s="1784"/>
      <c r="C11" s="1785"/>
      <c r="D11" s="1785"/>
      <c r="E11" s="1786"/>
      <c r="F11" s="2283" t="s">
        <v>779</v>
      </c>
      <c r="G11" s="2283"/>
      <c r="H11" s="2283"/>
      <c r="I11" s="2283"/>
      <c r="J11" s="2283"/>
      <c r="K11" s="2283"/>
      <c r="L11" s="2283"/>
      <c r="M11" s="2250"/>
      <c r="N11" s="2250"/>
      <c r="O11" s="2250"/>
      <c r="P11" s="2250"/>
      <c r="Q11" s="1618" t="s">
        <v>789</v>
      </c>
      <c r="R11" s="1619"/>
      <c r="S11" s="1015"/>
      <c r="T11" s="1015"/>
      <c r="U11" s="1015"/>
    </row>
    <row r="12" spans="1:21" ht="13.5" thickBot="1">
      <c r="A12" s="1622"/>
      <c r="B12" s="1625"/>
      <c r="C12" s="1014"/>
      <c r="D12" s="1633"/>
      <c r="E12" s="1670"/>
      <c r="F12" s="2252" t="s">
        <v>987</v>
      </c>
      <c r="G12" s="2253"/>
      <c r="H12" s="2253"/>
      <c r="I12" s="2253"/>
      <c r="J12" s="2253"/>
      <c r="K12" s="2253"/>
      <c r="L12" s="1787"/>
      <c r="M12" s="2284" t="s">
        <v>79</v>
      </c>
      <c r="N12" s="2285"/>
      <c r="O12" s="2285"/>
      <c r="P12" s="2285"/>
      <c r="Q12" s="1626"/>
      <c r="R12" s="1617"/>
      <c r="S12" s="1015"/>
      <c r="T12" s="1015"/>
      <c r="U12" s="1015"/>
    </row>
    <row r="13" spans="1:21" ht="12.75" customHeight="1" thickBot="1">
      <c r="A13" s="1698"/>
      <c r="B13" s="1649"/>
      <c r="C13" s="1776" t="s">
        <v>222</v>
      </c>
      <c r="D13" s="1633" t="s">
        <v>223</v>
      </c>
      <c r="E13" s="1788" t="s">
        <v>344</v>
      </c>
      <c r="F13" s="2286" t="s">
        <v>214</v>
      </c>
      <c r="G13" s="2259"/>
      <c r="H13" s="2259"/>
      <c r="I13" s="2260" t="s">
        <v>346</v>
      </c>
      <c r="J13" s="2261"/>
      <c r="K13" s="1700"/>
      <c r="L13" s="1701" t="s">
        <v>499</v>
      </c>
      <c r="M13" s="1622"/>
      <c r="N13" s="2262" t="s">
        <v>347</v>
      </c>
      <c r="O13" s="2263"/>
      <c r="P13" s="1701" t="s">
        <v>499</v>
      </c>
      <c r="Q13" s="1636" t="s">
        <v>346</v>
      </c>
      <c r="R13" s="1637" t="s">
        <v>347</v>
      </c>
      <c r="S13" s="1015"/>
      <c r="T13" s="1015"/>
      <c r="U13" s="1015"/>
    </row>
    <row r="14" spans="1:21" ht="12.75">
      <c r="A14" s="1698"/>
      <c r="B14" s="1632"/>
      <c r="C14" s="1012" t="s">
        <v>606</v>
      </c>
      <c r="D14" s="1633" t="s">
        <v>4</v>
      </c>
      <c r="E14" s="1788" t="s">
        <v>188</v>
      </c>
      <c r="F14" s="1013" t="s">
        <v>966</v>
      </c>
      <c r="G14" s="1702" t="s">
        <v>346</v>
      </c>
      <c r="H14" s="1633" t="s">
        <v>346</v>
      </c>
      <c r="I14" s="2262" t="s">
        <v>151</v>
      </c>
      <c r="J14" s="2263"/>
      <c r="K14" s="1701" t="s">
        <v>346</v>
      </c>
      <c r="L14" s="1701" t="s">
        <v>501</v>
      </c>
      <c r="M14" s="1636" t="s">
        <v>369</v>
      </c>
      <c r="N14" s="2262" t="s">
        <v>151</v>
      </c>
      <c r="O14" s="2263"/>
      <c r="P14" s="1701" t="s">
        <v>501</v>
      </c>
      <c r="Q14" s="1636" t="s">
        <v>354</v>
      </c>
      <c r="R14" s="1637" t="s">
        <v>354</v>
      </c>
      <c r="S14" s="1015"/>
      <c r="T14" s="1709"/>
      <c r="U14" s="1015"/>
    </row>
    <row r="15" spans="1:21" ht="12.75">
      <c r="A15" s="1776" t="s">
        <v>530</v>
      </c>
      <c r="B15" s="1632" t="s">
        <v>589</v>
      </c>
      <c r="C15" s="1012"/>
      <c r="D15" s="1633"/>
      <c r="E15" s="1788" t="s">
        <v>556</v>
      </c>
      <c r="F15" s="1013" t="s">
        <v>370</v>
      </c>
      <c r="G15" s="1639" t="s">
        <v>354</v>
      </c>
      <c r="H15" s="1633" t="s">
        <v>354</v>
      </c>
      <c r="I15" s="2262" t="s">
        <v>572</v>
      </c>
      <c r="J15" s="2263"/>
      <c r="K15" s="1701" t="s">
        <v>354</v>
      </c>
      <c r="L15" s="1701" t="s">
        <v>314</v>
      </c>
      <c r="M15" s="1636" t="s">
        <v>188</v>
      </c>
      <c r="N15" s="2262" t="s">
        <v>572</v>
      </c>
      <c r="O15" s="2263"/>
      <c r="P15" s="1701" t="s">
        <v>314</v>
      </c>
      <c r="Q15" s="1636"/>
      <c r="R15" s="1637"/>
      <c r="S15" s="1015"/>
      <c r="T15" s="1015"/>
      <c r="U15" s="1015"/>
    </row>
    <row r="16" spans="1:21" ht="12.75">
      <c r="A16" s="1645"/>
      <c r="B16" s="1632"/>
      <c r="C16" s="1012"/>
      <c r="D16" s="1634"/>
      <c r="E16" s="1632" t="s">
        <v>879</v>
      </c>
      <c r="F16" s="1013" t="s">
        <v>574</v>
      </c>
      <c r="G16" s="1639" t="s">
        <v>575</v>
      </c>
      <c r="H16" s="1639" t="s">
        <v>576</v>
      </c>
      <c r="I16" s="2264" t="s">
        <v>577</v>
      </c>
      <c r="J16" s="2265"/>
      <c r="K16" s="1701" t="s">
        <v>359</v>
      </c>
      <c r="L16" s="1701" t="s">
        <v>383</v>
      </c>
      <c r="M16" s="1622"/>
      <c r="N16" s="2264" t="s">
        <v>577</v>
      </c>
      <c r="O16" s="2265"/>
      <c r="P16" s="1701" t="s">
        <v>383</v>
      </c>
      <c r="Q16" s="1636"/>
      <c r="R16" s="1637"/>
      <c r="S16" s="1015"/>
      <c r="T16" s="1015"/>
      <c r="U16" s="1015"/>
    </row>
    <row r="17" spans="1:21" ht="12.75">
      <c r="A17" s="1645"/>
      <c r="B17" s="1632"/>
      <c r="C17" s="1012"/>
      <c r="D17" s="1634"/>
      <c r="E17" s="1655"/>
      <c r="F17" s="1013" t="s">
        <v>371</v>
      </c>
      <c r="G17" s="1639" t="s">
        <v>384</v>
      </c>
      <c r="H17" s="1639" t="s">
        <v>385</v>
      </c>
      <c r="I17" s="1639" t="s">
        <v>579</v>
      </c>
      <c r="J17" s="1701" t="s">
        <v>966</v>
      </c>
      <c r="K17" s="1701" t="s">
        <v>386</v>
      </c>
      <c r="L17" s="1701" t="s">
        <v>387</v>
      </c>
      <c r="M17" s="1622"/>
      <c r="N17" s="1639" t="s">
        <v>579</v>
      </c>
      <c r="O17" s="1701" t="s">
        <v>966</v>
      </c>
      <c r="P17" s="1701" t="s">
        <v>388</v>
      </c>
      <c r="Q17" s="1636"/>
      <c r="R17" s="1637"/>
      <c r="S17" s="1015"/>
      <c r="T17" s="1015"/>
      <c r="U17" s="1015"/>
    </row>
    <row r="18" spans="1:21" ht="12.75">
      <c r="A18" s="1642"/>
      <c r="B18" s="1655"/>
      <c r="C18" s="1789"/>
      <c r="D18" s="1654"/>
      <c r="E18" s="1655"/>
      <c r="F18" s="1706"/>
      <c r="G18" s="1635"/>
      <c r="H18" s="1639" t="s">
        <v>188</v>
      </c>
      <c r="I18" s="1639"/>
      <c r="J18" s="1701"/>
      <c r="K18" s="1701"/>
      <c r="L18" s="1637"/>
      <c r="M18" s="1622"/>
      <c r="N18" s="1639"/>
      <c r="O18" s="1701"/>
      <c r="P18" s="1623"/>
      <c r="Q18" s="1622"/>
      <c r="R18" s="1625"/>
      <c r="S18" s="1015"/>
      <c r="T18" s="1015"/>
      <c r="U18" s="1015"/>
    </row>
    <row r="19" spans="1:21" ht="12.75">
      <c r="A19" s="1659">
        <v>1</v>
      </c>
      <c r="B19" s="1662">
        <v>2</v>
      </c>
      <c r="C19" s="1660">
        <v>3</v>
      </c>
      <c r="D19" s="1661">
        <v>4</v>
      </c>
      <c r="E19" s="1662">
        <v>5</v>
      </c>
      <c r="F19" s="1663">
        <v>6</v>
      </c>
      <c r="G19" s="1663">
        <v>7</v>
      </c>
      <c r="H19" s="1664">
        <v>8</v>
      </c>
      <c r="I19" s="1664">
        <v>9</v>
      </c>
      <c r="J19" s="1661">
        <v>10</v>
      </c>
      <c r="K19" s="1661">
        <v>11</v>
      </c>
      <c r="L19" s="1662">
        <v>12</v>
      </c>
      <c r="M19" s="1659">
        <v>13</v>
      </c>
      <c r="N19" s="1664">
        <v>14</v>
      </c>
      <c r="O19" s="1664">
        <v>15</v>
      </c>
      <c r="P19" s="1664">
        <v>16</v>
      </c>
      <c r="Q19" s="1666">
        <v>17</v>
      </c>
      <c r="R19" s="1662">
        <v>18</v>
      </c>
      <c r="S19" s="1015"/>
      <c r="T19" s="1015"/>
      <c r="U19" s="1015"/>
    </row>
    <row r="20" spans="1:23" ht="12.75">
      <c r="A20" s="1624"/>
      <c r="B20" s="1790"/>
      <c r="C20" s="1791"/>
      <c r="D20" s="1792"/>
      <c r="E20" s="1677"/>
      <c r="F20" s="1016"/>
      <c r="G20" s="1016"/>
      <c r="H20" s="1016"/>
      <c r="I20" s="1016"/>
      <c r="J20" s="1016"/>
      <c r="K20" s="1016"/>
      <c r="L20" s="1016"/>
      <c r="M20" s="1673"/>
      <c r="N20" s="1016"/>
      <c r="O20" s="1016"/>
      <c r="P20" s="1016"/>
      <c r="Q20" s="1673"/>
      <c r="R20" s="1674"/>
      <c r="S20" s="1015"/>
      <c r="T20" s="1709"/>
      <c r="U20" s="1015"/>
      <c r="W20" s="1020"/>
    </row>
    <row r="21" spans="1:24" ht="15" customHeight="1">
      <c r="A21" s="1638" t="s">
        <v>482</v>
      </c>
      <c r="B21" s="1743" t="s">
        <v>590</v>
      </c>
      <c r="C21" s="1016">
        <v>29804</v>
      </c>
      <c r="D21" s="1711">
        <v>37317</v>
      </c>
      <c r="E21" s="1672">
        <f aca="true" t="shared" si="0" ref="E21:E34">SUM(F21:R21)</f>
        <v>3339</v>
      </c>
      <c r="F21" s="1016">
        <f>125+2544-1</f>
        <v>2668</v>
      </c>
      <c r="G21" s="1016">
        <v>671</v>
      </c>
      <c r="H21" s="1016"/>
      <c r="I21" s="1016"/>
      <c r="J21" s="1016"/>
      <c r="K21" s="1016"/>
      <c r="L21" s="1016"/>
      <c r="M21" s="1673"/>
      <c r="N21" s="1016"/>
      <c r="O21" s="1016"/>
      <c r="P21" s="1016"/>
      <c r="Q21" s="1673"/>
      <c r="R21" s="1674"/>
      <c r="S21" s="1015"/>
      <c r="T21" s="1709"/>
      <c r="U21" s="1015"/>
      <c r="V21" s="1709"/>
      <c r="W21" s="1020"/>
      <c r="X21" s="1020"/>
    </row>
    <row r="22" spans="1:24" ht="15" customHeight="1">
      <c r="A22" s="1638" t="s">
        <v>155</v>
      </c>
      <c r="B22" s="1743" t="s">
        <v>591</v>
      </c>
      <c r="C22" s="1016">
        <v>66683</v>
      </c>
      <c r="D22" s="1711">
        <v>53800</v>
      </c>
      <c r="E22" s="1672">
        <f t="shared" si="0"/>
        <v>18304</v>
      </c>
      <c r="F22" s="1016">
        <f>59+2903+11132</f>
        <v>14094</v>
      </c>
      <c r="G22" s="1016">
        <v>3805</v>
      </c>
      <c r="H22" s="1016"/>
      <c r="I22" s="1016"/>
      <c r="J22" s="1016"/>
      <c r="K22" s="1016"/>
      <c r="L22" s="1016">
        <v>405</v>
      </c>
      <c r="M22" s="1673"/>
      <c r="N22" s="1016"/>
      <c r="O22" s="1016"/>
      <c r="P22" s="1016"/>
      <c r="Q22" s="1673"/>
      <c r="R22" s="1674"/>
      <c r="S22" s="1015"/>
      <c r="T22" s="1709"/>
      <c r="U22" s="1015"/>
      <c r="V22" s="1709"/>
      <c r="W22" s="1020"/>
      <c r="X22" s="1020"/>
    </row>
    <row r="23" spans="1:24" ht="15" customHeight="1">
      <c r="A23" s="1638" t="s">
        <v>156</v>
      </c>
      <c r="B23" s="1743" t="s">
        <v>592</v>
      </c>
      <c r="C23" s="1016">
        <v>56002</v>
      </c>
      <c r="D23" s="1711">
        <v>55617</v>
      </c>
      <c r="E23" s="1672">
        <f t="shared" si="0"/>
        <v>7579</v>
      </c>
      <c r="F23" s="1016">
        <f>974+5105+51</f>
        <v>6130</v>
      </c>
      <c r="G23" s="1016">
        <v>1249</v>
      </c>
      <c r="H23" s="1016"/>
      <c r="I23" s="1016"/>
      <c r="J23" s="1016"/>
      <c r="K23" s="1016"/>
      <c r="L23" s="1016">
        <v>200</v>
      </c>
      <c r="M23" s="1673"/>
      <c r="N23" s="1016"/>
      <c r="O23" s="1016"/>
      <c r="P23" s="1016"/>
      <c r="Q23" s="1673"/>
      <c r="R23" s="1674"/>
      <c r="S23" s="1015"/>
      <c r="T23" s="1709"/>
      <c r="U23" s="1015"/>
      <c r="V23" s="1709"/>
      <c r="W23" s="1020"/>
      <c r="X23" s="1020"/>
    </row>
    <row r="24" spans="1:24" ht="15" customHeight="1">
      <c r="A24" s="1638" t="s">
        <v>157</v>
      </c>
      <c r="B24" s="1743" t="s">
        <v>593</v>
      </c>
      <c r="C24" s="1016">
        <v>21638</v>
      </c>
      <c r="D24" s="1711">
        <v>20661</v>
      </c>
      <c r="E24" s="1672">
        <f t="shared" si="0"/>
        <v>4368</v>
      </c>
      <c r="F24" s="1016">
        <f>313+2901+201</f>
        <v>3415</v>
      </c>
      <c r="G24" s="1016">
        <v>755</v>
      </c>
      <c r="H24" s="1016"/>
      <c r="I24" s="1016"/>
      <c r="J24" s="1016"/>
      <c r="K24" s="1016"/>
      <c r="L24" s="1016">
        <v>198</v>
      </c>
      <c r="M24" s="1673"/>
      <c r="N24" s="1016"/>
      <c r="O24" s="1016"/>
      <c r="P24" s="1016"/>
      <c r="Q24" s="1673"/>
      <c r="R24" s="1674"/>
      <c r="S24" s="1015"/>
      <c r="T24" s="1709"/>
      <c r="U24" s="1015"/>
      <c r="V24" s="1709"/>
      <c r="W24" s="1020"/>
      <c r="X24" s="1020"/>
    </row>
    <row r="25" spans="1:24" ht="15" customHeight="1">
      <c r="A25" s="1638" t="s">
        <v>158</v>
      </c>
      <c r="B25" s="1743" t="s">
        <v>594</v>
      </c>
      <c r="C25" s="1016">
        <v>53163</v>
      </c>
      <c r="D25" s="1711">
        <v>48373</v>
      </c>
      <c r="E25" s="1672">
        <f t="shared" si="0"/>
        <v>10929</v>
      </c>
      <c r="F25" s="1016">
        <f>55+8609+9+1</f>
        <v>8674</v>
      </c>
      <c r="G25" s="1016">
        <v>1689</v>
      </c>
      <c r="H25" s="1016"/>
      <c r="I25" s="1016"/>
      <c r="J25" s="1016"/>
      <c r="K25" s="1016"/>
      <c r="L25" s="1016">
        <v>500</v>
      </c>
      <c r="M25" s="1673"/>
      <c r="N25" s="1016"/>
      <c r="O25" s="1016"/>
      <c r="P25" s="1016">
        <v>66</v>
      </c>
      <c r="Q25" s="1673"/>
      <c r="R25" s="1674"/>
      <c r="S25" s="1015"/>
      <c r="T25" s="1709"/>
      <c r="U25" s="1015"/>
      <c r="V25" s="1709"/>
      <c r="W25" s="1020"/>
      <c r="X25" s="1020"/>
    </row>
    <row r="26" spans="1:24" ht="15" customHeight="1">
      <c r="A26" s="1638" t="s">
        <v>159</v>
      </c>
      <c r="B26" s="1743" t="s">
        <v>595</v>
      </c>
      <c r="C26" s="1016">
        <v>38519</v>
      </c>
      <c r="D26" s="1711">
        <v>44058</v>
      </c>
      <c r="E26" s="1672">
        <f t="shared" si="0"/>
        <v>11195</v>
      </c>
      <c r="F26" s="1016">
        <f>327+7424+1649+53</f>
        <v>9453</v>
      </c>
      <c r="G26" s="1016">
        <v>1742</v>
      </c>
      <c r="H26" s="1016"/>
      <c r="I26" s="1016"/>
      <c r="J26" s="1016"/>
      <c r="K26" s="1016"/>
      <c r="L26" s="1016"/>
      <c r="M26" s="1673"/>
      <c r="N26" s="1016"/>
      <c r="O26" s="1016"/>
      <c r="P26" s="1016"/>
      <c r="Q26" s="1673"/>
      <c r="R26" s="1674"/>
      <c r="S26" s="1015"/>
      <c r="T26" s="1709"/>
      <c r="U26" s="1015"/>
      <c r="V26" s="1709"/>
      <c r="W26" s="1020"/>
      <c r="X26" s="1020"/>
    </row>
    <row r="27" spans="1:24" ht="15" customHeight="1">
      <c r="A27" s="1638" t="s">
        <v>160</v>
      </c>
      <c r="B27" s="1743" t="s">
        <v>226</v>
      </c>
      <c r="C27" s="1016">
        <v>79783</v>
      </c>
      <c r="D27" s="1711">
        <v>74921</v>
      </c>
      <c r="E27" s="1672">
        <f t="shared" si="0"/>
        <v>28809</v>
      </c>
      <c r="F27" s="1016">
        <f>491+19022+2733+29+146+218</f>
        <v>22639</v>
      </c>
      <c r="G27" s="1016">
        <v>5982</v>
      </c>
      <c r="H27" s="1016"/>
      <c r="I27" s="1016"/>
      <c r="J27" s="1016"/>
      <c r="K27" s="1016"/>
      <c r="L27" s="1016">
        <v>188</v>
      </c>
      <c r="M27" s="1673"/>
      <c r="N27" s="1016"/>
      <c r="O27" s="1016"/>
      <c r="P27" s="1016"/>
      <c r="Q27" s="1673"/>
      <c r="R27" s="1674"/>
      <c r="S27" s="1015"/>
      <c r="T27" s="1709"/>
      <c r="U27" s="1015"/>
      <c r="V27" s="1709"/>
      <c r="W27" s="1020"/>
      <c r="X27" s="1020"/>
    </row>
    <row r="28" spans="1:24" ht="15" customHeight="1">
      <c r="A28" s="1638" t="s">
        <v>161</v>
      </c>
      <c r="B28" s="1743" t="s">
        <v>596</v>
      </c>
      <c r="C28" s="1016">
        <v>21892</v>
      </c>
      <c r="D28" s="1711">
        <v>24353</v>
      </c>
      <c r="E28" s="1672">
        <f t="shared" si="0"/>
        <v>5808</v>
      </c>
      <c r="F28" s="1016">
        <f>263+4396</f>
        <v>4659</v>
      </c>
      <c r="G28" s="1016">
        <v>1149</v>
      </c>
      <c r="H28" s="1016"/>
      <c r="I28" s="1016"/>
      <c r="J28" s="1016"/>
      <c r="K28" s="1016"/>
      <c r="L28" s="1016"/>
      <c r="M28" s="1673"/>
      <c r="N28" s="1016"/>
      <c r="O28" s="1016"/>
      <c r="P28" s="1016"/>
      <c r="Q28" s="1673"/>
      <c r="R28" s="1674"/>
      <c r="S28" s="1015"/>
      <c r="T28" s="1709"/>
      <c r="U28" s="1015"/>
      <c r="V28" s="1709"/>
      <c r="W28" s="1020"/>
      <c r="X28" s="1020"/>
    </row>
    <row r="29" spans="1:24" ht="15" customHeight="1">
      <c r="A29" s="1638" t="s">
        <v>162</v>
      </c>
      <c r="B29" s="1743" t="s">
        <v>597</v>
      </c>
      <c r="C29" s="1016">
        <v>21465</v>
      </c>
      <c r="D29" s="1711">
        <v>21009</v>
      </c>
      <c r="E29" s="1672">
        <f>SUM(F29:R29)</f>
        <v>5545</v>
      </c>
      <c r="F29" s="1016">
        <f>822+3374+92</f>
        <v>4288</v>
      </c>
      <c r="G29" s="1016">
        <v>1116</v>
      </c>
      <c r="H29" s="1016"/>
      <c r="I29" s="1016"/>
      <c r="J29" s="1016"/>
      <c r="K29" s="1016"/>
      <c r="L29" s="1016"/>
      <c r="M29" s="1673"/>
      <c r="N29" s="1016"/>
      <c r="O29" s="1016"/>
      <c r="P29" s="1016">
        <v>141</v>
      </c>
      <c r="Q29" s="1673"/>
      <c r="R29" s="1674"/>
      <c r="S29" s="1015"/>
      <c r="T29" s="1709"/>
      <c r="U29" s="1015"/>
      <c r="V29" s="1709"/>
      <c r="W29" s="1020"/>
      <c r="X29" s="1020"/>
    </row>
    <row r="30" spans="1:24" ht="15" customHeight="1">
      <c r="A30" s="1638" t="s">
        <v>163</v>
      </c>
      <c r="B30" s="1743" t="s">
        <v>34</v>
      </c>
      <c r="C30" s="1016">
        <v>64782</v>
      </c>
      <c r="D30" s="1711">
        <v>60520</v>
      </c>
      <c r="E30" s="1672">
        <f t="shared" si="0"/>
        <v>18475</v>
      </c>
      <c r="F30" s="1016">
        <f>417+10587+3018+69+63</f>
        <v>14154</v>
      </c>
      <c r="G30" s="1016">
        <v>3619</v>
      </c>
      <c r="H30" s="1016"/>
      <c r="I30" s="1016"/>
      <c r="J30" s="1016"/>
      <c r="K30" s="1016"/>
      <c r="L30" s="1016">
        <v>702</v>
      </c>
      <c r="M30" s="1673"/>
      <c r="N30" s="1016"/>
      <c r="O30" s="1016"/>
      <c r="P30" s="1016"/>
      <c r="Q30" s="1673"/>
      <c r="R30" s="1674"/>
      <c r="S30" s="1015"/>
      <c r="T30" s="1709"/>
      <c r="U30" s="1015"/>
      <c r="V30" s="1709"/>
      <c r="W30" s="1020"/>
      <c r="X30" s="1020"/>
    </row>
    <row r="31" spans="1:24" ht="15" customHeight="1">
      <c r="A31" s="1638" t="s">
        <v>164</v>
      </c>
      <c r="B31" s="1743" t="s">
        <v>598</v>
      </c>
      <c r="C31" s="1016">
        <v>19040</v>
      </c>
      <c r="D31" s="1711">
        <v>18800</v>
      </c>
      <c r="E31" s="1672">
        <f t="shared" si="0"/>
        <v>5224</v>
      </c>
      <c r="F31" s="1016">
        <f>940+3297</f>
        <v>4237</v>
      </c>
      <c r="G31" s="1016">
        <v>883</v>
      </c>
      <c r="H31" s="1016"/>
      <c r="I31" s="1016"/>
      <c r="J31" s="1016"/>
      <c r="K31" s="1016"/>
      <c r="L31" s="1016">
        <v>104</v>
      </c>
      <c r="M31" s="1673"/>
      <c r="N31" s="1016"/>
      <c r="O31" s="1016"/>
      <c r="P31" s="1016"/>
      <c r="Q31" s="1673"/>
      <c r="R31" s="1674"/>
      <c r="S31" s="1015"/>
      <c r="T31" s="1709"/>
      <c r="U31" s="1015"/>
      <c r="V31" s="1709"/>
      <c r="W31" s="1020"/>
      <c r="X31" s="1020"/>
    </row>
    <row r="32" spans="1:24" ht="15" customHeight="1">
      <c r="A32" s="1638" t="s">
        <v>165</v>
      </c>
      <c r="B32" s="1743" t="s">
        <v>599</v>
      </c>
      <c r="C32" s="1016">
        <v>39455</v>
      </c>
      <c r="D32" s="1711">
        <v>40848</v>
      </c>
      <c r="E32" s="1672">
        <f t="shared" si="0"/>
        <v>4615</v>
      </c>
      <c r="F32" s="1016">
        <f>3572+142+1</f>
        <v>3715</v>
      </c>
      <c r="G32" s="1016">
        <v>900</v>
      </c>
      <c r="H32" s="1016"/>
      <c r="I32" s="1016"/>
      <c r="J32" s="1016"/>
      <c r="K32" s="1016"/>
      <c r="L32" s="1016"/>
      <c r="M32" s="1673"/>
      <c r="N32" s="1016"/>
      <c r="O32" s="1016"/>
      <c r="P32" s="1016"/>
      <c r="Q32" s="1673"/>
      <c r="R32" s="1674"/>
      <c r="S32" s="1015"/>
      <c r="T32" s="1709"/>
      <c r="U32" s="1015"/>
      <c r="V32" s="1709"/>
      <c r="W32" s="1020"/>
      <c r="X32" s="1020"/>
    </row>
    <row r="33" spans="1:24" ht="15" customHeight="1">
      <c r="A33" s="1638" t="s">
        <v>166</v>
      </c>
      <c r="B33" s="1743" t="s">
        <v>600</v>
      </c>
      <c r="C33" s="1016">
        <v>27411</v>
      </c>
      <c r="D33" s="1711">
        <v>32531</v>
      </c>
      <c r="E33" s="1672">
        <f t="shared" si="0"/>
        <v>7510</v>
      </c>
      <c r="F33" s="1016">
        <f>1436+4919-1</f>
        <v>6354</v>
      </c>
      <c r="G33" s="1016">
        <v>1156</v>
      </c>
      <c r="H33" s="1016"/>
      <c r="I33" s="1016"/>
      <c r="J33" s="1016"/>
      <c r="K33" s="1016"/>
      <c r="L33" s="1016"/>
      <c r="M33" s="1673"/>
      <c r="N33" s="1016"/>
      <c r="O33" s="1016"/>
      <c r="P33" s="1016"/>
      <c r="Q33" s="1673"/>
      <c r="R33" s="1674"/>
      <c r="S33" s="1015"/>
      <c r="T33" s="1709"/>
      <c r="U33" s="1015"/>
      <c r="V33" s="1709"/>
      <c r="W33" s="1020"/>
      <c r="X33" s="1020"/>
    </row>
    <row r="34" spans="1:24" ht="15" customHeight="1">
      <c r="A34" s="1638" t="s">
        <v>446</v>
      </c>
      <c r="B34" s="1743" t="s">
        <v>601</v>
      </c>
      <c r="C34" s="1016">
        <v>20280</v>
      </c>
      <c r="D34" s="1711">
        <v>20407</v>
      </c>
      <c r="E34" s="1672">
        <f t="shared" si="0"/>
        <v>6673</v>
      </c>
      <c r="F34" s="1016">
        <f>1856+3704+44-1</f>
        <v>5603</v>
      </c>
      <c r="G34" s="1016">
        <v>945</v>
      </c>
      <c r="H34" s="1016"/>
      <c r="I34" s="1016"/>
      <c r="J34" s="1016"/>
      <c r="K34" s="1016"/>
      <c r="L34" s="1016">
        <v>125</v>
      </c>
      <c r="M34" s="1673"/>
      <c r="N34" s="1016"/>
      <c r="O34" s="1016"/>
      <c r="P34" s="1016"/>
      <c r="Q34" s="1673"/>
      <c r="R34" s="1674"/>
      <c r="S34" s="1015"/>
      <c r="T34" s="1709"/>
      <c r="U34" s="1015"/>
      <c r="V34" s="1709"/>
      <c r="W34" s="1020"/>
      <c r="X34" s="1020"/>
    </row>
    <row r="35" spans="1:24" ht="12.75">
      <c r="A35" s="1638"/>
      <c r="B35" s="1625"/>
      <c r="C35" s="1016"/>
      <c r="D35" s="1711"/>
      <c r="E35" s="1672"/>
      <c r="F35" s="1016"/>
      <c r="G35" s="1016"/>
      <c r="H35" s="1016"/>
      <c r="I35" s="1016"/>
      <c r="J35" s="1016"/>
      <c r="K35" s="1016"/>
      <c r="L35" s="1016"/>
      <c r="M35" s="1673"/>
      <c r="N35" s="1016"/>
      <c r="O35" s="1016"/>
      <c r="P35" s="1016"/>
      <c r="Q35" s="1673"/>
      <c r="R35" s="1674"/>
      <c r="S35" s="1015"/>
      <c r="T35" s="1709"/>
      <c r="U35" s="1015"/>
      <c r="V35" s="1709"/>
      <c r="W35" s="1020"/>
      <c r="X35" s="1020"/>
    </row>
    <row r="36" spans="1:24" ht="19.5" customHeight="1">
      <c r="A36" s="2025"/>
      <c r="B36" s="2117" t="s">
        <v>602</v>
      </c>
      <c r="C36" s="2029">
        <f>SUM(C21:C35)</f>
        <v>559917</v>
      </c>
      <c r="D36" s="2030">
        <f>SUM(D21:D35)</f>
        <v>553215</v>
      </c>
      <c r="E36" s="2021">
        <f>SUM(E21:E35)</f>
        <v>138373</v>
      </c>
      <c r="F36" s="2035">
        <f aca="true" t="shared" si="1" ref="F36:R36">SUM(F21:F35)</f>
        <v>110083</v>
      </c>
      <c r="G36" s="2036">
        <f t="shared" si="1"/>
        <v>25661</v>
      </c>
      <c r="H36" s="2036">
        <f t="shared" si="1"/>
        <v>0</v>
      </c>
      <c r="I36" s="2036">
        <f t="shared" si="1"/>
        <v>0</v>
      </c>
      <c r="J36" s="2036">
        <f t="shared" si="1"/>
        <v>0</v>
      </c>
      <c r="K36" s="2020">
        <f t="shared" si="1"/>
        <v>0</v>
      </c>
      <c r="L36" s="2021">
        <f t="shared" si="1"/>
        <v>2422</v>
      </c>
      <c r="M36" s="2022">
        <f t="shared" si="1"/>
        <v>0</v>
      </c>
      <c r="N36" s="2036">
        <f t="shared" si="1"/>
        <v>0</v>
      </c>
      <c r="O36" s="2035">
        <f t="shared" si="1"/>
        <v>0</v>
      </c>
      <c r="P36" s="2036">
        <f t="shared" si="1"/>
        <v>207</v>
      </c>
      <c r="Q36" s="2022">
        <f t="shared" si="1"/>
        <v>0</v>
      </c>
      <c r="R36" s="2021">
        <f t="shared" si="1"/>
        <v>0</v>
      </c>
      <c r="S36" s="1015"/>
      <c r="T36" s="1709"/>
      <c r="U36" s="1015"/>
      <c r="V36" s="1709"/>
      <c r="W36" s="1020"/>
      <c r="X36" s="1020"/>
    </row>
    <row r="37" spans="1:24" ht="12.75">
      <c r="A37" s="1624"/>
      <c r="B37" s="1625"/>
      <c r="C37" s="1016"/>
      <c r="D37" s="1711"/>
      <c r="E37" s="1672"/>
      <c r="F37" s="1016"/>
      <c r="G37" s="1016"/>
      <c r="H37" s="1016"/>
      <c r="I37" s="1016"/>
      <c r="J37" s="1016"/>
      <c r="K37" s="1016"/>
      <c r="L37" s="1016"/>
      <c r="M37" s="1673"/>
      <c r="N37" s="1016"/>
      <c r="O37" s="1016"/>
      <c r="P37" s="1016"/>
      <c r="Q37" s="1673"/>
      <c r="R37" s="1674"/>
      <c r="S37" s="1015"/>
      <c r="T37" s="1709"/>
      <c r="U37" s="1015"/>
      <c r="V37" s="1709"/>
      <c r="W37" s="1020"/>
      <c r="X37" s="1020"/>
    </row>
    <row r="38" spans="1:24" ht="15" customHeight="1">
      <c r="A38" s="1638" t="s">
        <v>482</v>
      </c>
      <c r="B38" s="1743" t="s">
        <v>603</v>
      </c>
      <c r="C38" s="1016">
        <v>5229</v>
      </c>
      <c r="D38" s="1711">
        <v>6138</v>
      </c>
      <c r="E38" s="1672">
        <f>SUM(F38:R38)</f>
        <v>7729</v>
      </c>
      <c r="F38" s="1016">
        <f>941+726+5746+120</f>
        <v>7533</v>
      </c>
      <c r="G38" s="1016">
        <v>196</v>
      </c>
      <c r="H38" s="1016"/>
      <c r="I38" s="1016"/>
      <c r="J38" s="1016"/>
      <c r="K38" s="1016"/>
      <c r="L38" s="1016"/>
      <c r="M38" s="1673"/>
      <c r="N38" s="1016"/>
      <c r="O38" s="1016"/>
      <c r="P38" s="1016"/>
      <c r="Q38" s="1673"/>
      <c r="R38" s="1674"/>
      <c r="S38" s="1015"/>
      <c r="T38" s="1709"/>
      <c r="U38" s="1015"/>
      <c r="V38" s="1709"/>
      <c r="W38" s="1020"/>
      <c r="X38" s="1020"/>
    </row>
    <row r="39" spans="1:24" ht="15" customHeight="1">
      <c r="A39" s="1638" t="s">
        <v>155</v>
      </c>
      <c r="B39" s="1743" t="s">
        <v>604</v>
      </c>
      <c r="C39" s="1016">
        <v>4896</v>
      </c>
      <c r="D39" s="1711">
        <v>4896</v>
      </c>
      <c r="E39" s="1672">
        <f>SUM(F39:R39)</f>
        <v>484</v>
      </c>
      <c r="F39" s="1016">
        <v>484</v>
      </c>
      <c r="G39" s="1016"/>
      <c r="H39" s="1016"/>
      <c r="I39" s="1016"/>
      <c r="J39" s="1016"/>
      <c r="K39" s="1016"/>
      <c r="L39" s="1016"/>
      <c r="M39" s="1673"/>
      <c r="N39" s="1016"/>
      <c r="O39" s="1016"/>
      <c r="P39" s="1016"/>
      <c r="Q39" s="1673"/>
      <c r="R39" s="1674"/>
      <c r="S39" s="1015"/>
      <c r="T39" s="1709"/>
      <c r="U39" s="1015"/>
      <c r="V39" s="1709"/>
      <c r="W39" s="1020"/>
      <c r="X39" s="1020"/>
    </row>
    <row r="40" spans="1:24" ht="15" customHeight="1">
      <c r="A40" s="1638" t="s">
        <v>156</v>
      </c>
      <c r="B40" s="1743" t="s">
        <v>605</v>
      </c>
      <c r="C40" s="1016">
        <v>11507</v>
      </c>
      <c r="D40" s="1711">
        <v>15123</v>
      </c>
      <c r="E40" s="1672">
        <f>SUM(F40:R40)</f>
        <v>3997</v>
      </c>
      <c r="F40" s="1016">
        <f>43+50+2590</f>
        <v>2683</v>
      </c>
      <c r="G40" s="1016">
        <v>713</v>
      </c>
      <c r="H40" s="1016"/>
      <c r="I40" s="1016"/>
      <c r="J40" s="1016"/>
      <c r="K40" s="1016"/>
      <c r="L40" s="1016">
        <v>601</v>
      </c>
      <c r="M40" s="1673"/>
      <c r="N40" s="1016"/>
      <c r="O40" s="1016"/>
      <c r="P40" s="1016"/>
      <c r="Q40" s="1673"/>
      <c r="R40" s="1674"/>
      <c r="S40" s="1015"/>
      <c r="T40" s="1709"/>
      <c r="U40" s="1015"/>
      <c r="V40" s="1709"/>
      <c r="W40" s="1020"/>
      <c r="X40" s="1020"/>
    </row>
    <row r="41" spans="1:24" ht="12.75">
      <c r="A41" s="1638"/>
      <c r="B41" s="1743"/>
      <c r="C41" s="1016"/>
      <c r="D41" s="1711"/>
      <c r="E41" s="1672"/>
      <c r="F41" s="1016"/>
      <c r="G41" s="1016"/>
      <c r="H41" s="1016"/>
      <c r="I41" s="1016"/>
      <c r="J41" s="1016"/>
      <c r="K41" s="1016"/>
      <c r="L41" s="1016"/>
      <c r="M41" s="1673"/>
      <c r="N41" s="1016"/>
      <c r="O41" s="1016"/>
      <c r="P41" s="1016"/>
      <c r="Q41" s="1673"/>
      <c r="R41" s="1674"/>
      <c r="S41" s="1015"/>
      <c r="T41" s="1709"/>
      <c r="U41" s="1015"/>
      <c r="V41" s="1709"/>
      <c r="W41" s="1020"/>
      <c r="X41" s="1020"/>
    </row>
    <row r="42" spans="1:25" ht="19.5" customHeight="1">
      <c r="A42" s="2025"/>
      <c r="B42" s="2117" t="s">
        <v>211</v>
      </c>
      <c r="C42" s="2029">
        <f aca="true" t="shared" si="2" ref="C42:I42">SUM(C38:C41)</f>
        <v>21632</v>
      </c>
      <c r="D42" s="2030">
        <f t="shared" si="2"/>
        <v>26157</v>
      </c>
      <c r="E42" s="2021">
        <f t="shared" si="2"/>
        <v>12210</v>
      </c>
      <c r="F42" s="2035">
        <f t="shared" si="2"/>
        <v>10700</v>
      </c>
      <c r="G42" s="2036">
        <f t="shared" si="2"/>
        <v>909</v>
      </c>
      <c r="H42" s="2036">
        <f t="shared" si="2"/>
        <v>0</v>
      </c>
      <c r="I42" s="2036">
        <f t="shared" si="2"/>
        <v>0</v>
      </c>
      <c r="J42" s="2036">
        <f aca="true" t="shared" si="3" ref="J42:R42">SUM(J38:J41)</f>
        <v>0</v>
      </c>
      <c r="K42" s="2020">
        <f t="shared" si="3"/>
        <v>0</v>
      </c>
      <c r="L42" s="2021">
        <f t="shared" si="3"/>
        <v>601</v>
      </c>
      <c r="M42" s="2022">
        <f t="shared" si="3"/>
        <v>0</v>
      </c>
      <c r="N42" s="2036">
        <f t="shared" si="3"/>
        <v>0</v>
      </c>
      <c r="O42" s="2035">
        <f t="shared" si="3"/>
        <v>0</v>
      </c>
      <c r="P42" s="2036">
        <f t="shared" si="3"/>
        <v>0</v>
      </c>
      <c r="Q42" s="2022">
        <f t="shared" si="3"/>
        <v>0</v>
      </c>
      <c r="R42" s="2021">
        <f t="shared" si="3"/>
        <v>0</v>
      </c>
      <c r="S42" s="1021"/>
      <c r="T42" s="1709"/>
      <c r="U42" s="1021"/>
      <c r="V42" s="1709"/>
      <c r="W42" s="1020"/>
      <c r="X42" s="1020"/>
      <c r="Y42" s="1020"/>
    </row>
    <row r="43" spans="1:25" ht="12.75">
      <c r="A43" s="1685"/>
      <c r="B43" s="1793"/>
      <c r="C43" s="1794"/>
      <c r="D43" s="1712"/>
      <c r="E43" s="1687"/>
      <c r="F43" s="1021"/>
      <c r="G43" s="1021"/>
      <c r="H43" s="1021"/>
      <c r="I43" s="1021"/>
      <c r="J43" s="1021"/>
      <c r="K43" s="1021"/>
      <c r="L43" s="1021"/>
      <c r="M43" s="1688"/>
      <c r="N43" s="1021"/>
      <c r="O43" s="1021"/>
      <c r="P43" s="1021"/>
      <c r="Q43" s="1688"/>
      <c r="R43" s="1689"/>
      <c r="S43" s="1021"/>
      <c r="T43" s="1709"/>
      <c r="U43" s="1021"/>
      <c r="V43" s="1709"/>
      <c r="W43" s="1020"/>
      <c r="X43" s="1020"/>
      <c r="Y43" s="1020"/>
    </row>
    <row r="44" spans="1:24" ht="13.5" thickBot="1">
      <c r="A44" s="1685"/>
      <c r="B44" s="1793"/>
      <c r="C44" s="1794"/>
      <c r="D44" s="1712"/>
      <c r="E44" s="1687"/>
      <c r="F44" s="1016"/>
      <c r="G44" s="1016"/>
      <c r="H44" s="1016"/>
      <c r="I44" s="1016"/>
      <c r="J44" s="1016"/>
      <c r="K44" s="1016"/>
      <c r="L44" s="1016"/>
      <c r="M44" s="1673"/>
      <c r="N44" s="1016"/>
      <c r="O44" s="1016"/>
      <c r="P44" s="1016"/>
      <c r="Q44" s="1673"/>
      <c r="R44" s="1674"/>
      <c r="S44" s="1015"/>
      <c r="T44" s="1709"/>
      <c r="U44" s="1015"/>
      <c r="V44" s="1709"/>
      <c r="W44" s="1020"/>
      <c r="X44" s="1020"/>
    </row>
    <row r="45" spans="1:24" ht="13.5" hidden="1" thickBot="1">
      <c r="A45" s="1624"/>
      <c r="B45" s="1795"/>
      <c r="C45" s="1796"/>
      <c r="D45" s="1713"/>
      <c r="E45" s="1672"/>
      <c r="F45" s="1016"/>
      <c r="G45" s="1016"/>
      <c r="H45" s="1016"/>
      <c r="I45" s="1016"/>
      <c r="J45" s="1016"/>
      <c r="K45" s="1016"/>
      <c r="L45" s="1016"/>
      <c r="M45" s="1673"/>
      <c r="N45" s="1016"/>
      <c r="O45" s="1016"/>
      <c r="P45" s="1016"/>
      <c r="Q45" s="1673"/>
      <c r="R45" s="1674"/>
      <c r="S45" s="1015"/>
      <c r="T45" s="1709"/>
      <c r="U45" s="1015"/>
      <c r="V45" s="1709"/>
      <c r="W45" s="1020"/>
      <c r="X45" s="1020"/>
    </row>
    <row r="46" spans="1:24" ht="13.5" hidden="1" thickBot="1">
      <c r="A46" s="1624"/>
      <c r="B46" s="1795"/>
      <c r="C46" s="1796"/>
      <c r="D46" s="1713"/>
      <c r="E46" s="1672"/>
      <c r="F46" s="1016"/>
      <c r="G46" s="1016"/>
      <c r="H46" s="1016"/>
      <c r="I46" s="1016"/>
      <c r="J46" s="1016"/>
      <c r="K46" s="1016"/>
      <c r="L46" s="1016"/>
      <c r="M46" s="1673"/>
      <c r="N46" s="1016"/>
      <c r="O46" s="1016"/>
      <c r="P46" s="1016"/>
      <c r="Q46" s="1673"/>
      <c r="R46" s="1674"/>
      <c r="S46" s="1015"/>
      <c r="T46" s="1709"/>
      <c r="U46" s="1015"/>
      <c r="V46" s="1709"/>
      <c r="W46" s="1020"/>
      <c r="X46" s="1020"/>
    </row>
    <row r="47" spans="1:24" ht="13.5" hidden="1" thickBot="1">
      <c r="A47" s="1624"/>
      <c r="B47" s="1797"/>
      <c r="C47" s="1798"/>
      <c r="D47" s="1714"/>
      <c r="E47" s="1672"/>
      <c r="F47" s="1016"/>
      <c r="G47" s="1016"/>
      <c r="H47" s="1016"/>
      <c r="I47" s="1016"/>
      <c r="J47" s="1016"/>
      <c r="K47" s="1016"/>
      <c r="L47" s="1016"/>
      <c r="M47" s="1673"/>
      <c r="N47" s="1016"/>
      <c r="O47" s="1016"/>
      <c r="P47" s="1016"/>
      <c r="Q47" s="1673"/>
      <c r="R47" s="1674"/>
      <c r="S47" s="1015"/>
      <c r="T47" s="1709"/>
      <c r="U47" s="1015"/>
      <c r="V47" s="1709"/>
      <c r="W47" s="1020"/>
      <c r="X47" s="1020"/>
    </row>
    <row r="48" spans="1:24" ht="19.5" customHeight="1" thickBot="1">
      <c r="A48" s="2079"/>
      <c r="B48" s="2115" t="s">
        <v>588</v>
      </c>
      <c r="C48" s="2116">
        <f>C36+C42</f>
        <v>581549</v>
      </c>
      <c r="D48" s="2082">
        <f>D36+D42</f>
        <v>579372</v>
      </c>
      <c r="E48" s="2083">
        <f aca="true" t="shared" si="4" ref="E48:R48">E36+E42</f>
        <v>150583</v>
      </c>
      <c r="F48" s="2084">
        <f>F36+F42</f>
        <v>120783</v>
      </c>
      <c r="G48" s="2085">
        <f>G36+G42</f>
        <v>26570</v>
      </c>
      <c r="H48" s="2085">
        <f>H36+H42</f>
        <v>0</v>
      </c>
      <c r="I48" s="2085">
        <f>I36+I42</f>
        <v>0</v>
      </c>
      <c r="J48" s="2085">
        <f t="shared" si="4"/>
        <v>0</v>
      </c>
      <c r="K48" s="2085">
        <f t="shared" si="4"/>
        <v>0</v>
      </c>
      <c r="L48" s="2084">
        <f t="shared" si="4"/>
        <v>3023</v>
      </c>
      <c r="M48" s="2086">
        <f t="shared" si="4"/>
        <v>0</v>
      </c>
      <c r="N48" s="2085">
        <f t="shared" si="4"/>
        <v>0</v>
      </c>
      <c r="O48" s="2085">
        <f t="shared" si="4"/>
        <v>0</v>
      </c>
      <c r="P48" s="2085">
        <f t="shared" si="4"/>
        <v>207</v>
      </c>
      <c r="Q48" s="2086">
        <f t="shared" si="4"/>
        <v>0</v>
      </c>
      <c r="R48" s="2083">
        <f t="shared" si="4"/>
        <v>0</v>
      </c>
      <c r="S48" s="1015"/>
      <c r="T48" s="1709"/>
      <c r="U48" s="1015"/>
      <c r="V48" s="1709"/>
      <c r="W48" s="1020"/>
      <c r="X48" s="1020"/>
    </row>
    <row r="49" spans="5:22" ht="12.75">
      <c r="E49" s="1017"/>
      <c r="S49" s="1015"/>
      <c r="T49" s="1709"/>
      <c r="U49" s="1015"/>
      <c r="V49" s="1015"/>
    </row>
    <row r="50" spans="5:21" ht="12.75">
      <c r="E50" s="1007"/>
      <c r="L50" s="1020"/>
      <c r="S50" s="1015"/>
      <c r="T50" s="1709"/>
      <c r="U50" s="1015"/>
    </row>
    <row r="51" spans="2:21" ht="12.75">
      <c r="B51" s="1020"/>
      <c r="C51" s="1020"/>
      <c r="D51" s="1020"/>
      <c r="E51" s="1022"/>
      <c r="H51" s="1020"/>
      <c r="S51" s="1015"/>
      <c r="T51" s="1015"/>
      <c r="U51" s="1015"/>
    </row>
    <row r="52" spans="5:21" ht="12.75">
      <c r="E52" s="1022"/>
      <c r="O52" s="1020"/>
      <c r="S52" s="1015"/>
      <c r="T52" s="1015"/>
      <c r="U52" s="1015"/>
    </row>
    <row r="53" spans="5:21" ht="12.75">
      <c r="E53" s="1022"/>
      <c r="G53" s="1020"/>
      <c r="L53" s="1020"/>
      <c r="M53" s="1020"/>
      <c r="P53" s="1020"/>
      <c r="S53" s="1015"/>
      <c r="T53" s="1015"/>
      <c r="U53" s="1015"/>
    </row>
    <row r="54" spans="2:21" ht="12.75">
      <c r="B54" s="1020"/>
      <c r="C54" s="1020"/>
      <c r="D54" s="1020"/>
      <c r="E54" s="1022"/>
      <c r="O54" s="1020"/>
      <c r="S54" s="1015"/>
      <c r="T54" s="1015"/>
      <c r="U54" s="1015"/>
    </row>
    <row r="55" spans="5:21" ht="12.75">
      <c r="E55" s="1007"/>
      <c r="S55" s="1015"/>
      <c r="T55" s="1015"/>
      <c r="U55" s="1015"/>
    </row>
    <row r="56" spans="5:21" ht="12.75">
      <c r="E56" s="1007"/>
      <c r="S56" s="1015"/>
      <c r="T56" s="1015"/>
      <c r="U56" s="1015"/>
    </row>
    <row r="57" ht="12.75">
      <c r="E57" s="1007"/>
    </row>
    <row r="58" ht="12.75">
      <c r="E58" s="1007"/>
    </row>
    <row r="59" spans="5:21" ht="12.75">
      <c r="E59" s="1007"/>
      <c r="F59" s="1007"/>
      <c r="G59" s="1007"/>
      <c r="H59" s="1007"/>
      <c r="I59" s="1007"/>
      <c r="J59" s="1007"/>
      <c r="K59" s="1007"/>
      <c r="L59" s="1007"/>
      <c r="M59" s="1007"/>
      <c r="N59" s="1007"/>
      <c r="O59" s="1007"/>
      <c r="P59" s="1007"/>
      <c r="Q59" s="1007"/>
      <c r="R59" s="1007"/>
      <c r="S59" s="1007"/>
      <c r="T59" s="1007"/>
      <c r="U59" s="1007"/>
    </row>
    <row r="60" spans="5:21" ht="12.75">
      <c r="E60" s="1007"/>
      <c r="F60" s="1007"/>
      <c r="G60" s="1007"/>
      <c r="H60" s="1007"/>
      <c r="I60" s="1007"/>
      <c r="J60" s="1007"/>
      <c r="K60" s="1007"/>
      <c r="L60" s="1007"/>
      <c r="M60" s="1007"/>
      <c r="N60" s="1007"/>
      <c r="O60" s="1007"/>
      <c r="P60" s="1007"/>
      <c r="Q60" s="1007"/>
      <c r="R60" s="1007"/>
      <c r="S60" s="1007"/>
      <c r="T60" s="1007"/>
      <c r="U60" s="1007"/>
    </row>
    <row r="61" spans="5:21" ht="12.75">
      <c r="E61" s="1007"/>
      <c r="F61" s="1007"/>
      <c r="G61" s="1007"/>
      <c r="H61" s="1007"/>
      <c r="I61" s="1007"/>
      <c r="J61" s="1007"/>
      <c r="K61" s="1007"/>
      <c r="L61" s="1007"/>
      <c r="M61" s="1007"/>
      <c r="N61" s="1007"/>
      <c r="O61" s="1007"/>
      <c r="P61" s="1007"/>
      <c r="Q61" s="1007"/>
      <c r="R61" s="1007"/>
      <c r="S61" s="1007"/>
      <c r="T61" s="1007"/>
      <c r="U61" s="1007"/>
    </row>
    <row r="62" spans="5:21" ht="12.75">
      <c r="E62" s="1007"/>
      <c r="F62" s="1007"/>
      <c r="G62" s="1007"/>
      <c r="H62" s="1007"/>
      <c r="I62" s="1007"/>
      <c r="J62" s="1007"/>
      <c r="K62" s="1007"/>
      <c r="L62" s="1007"/>
      <c r="M62" s="1007"/>
      <c r="N62" s="1007"/>
      <c r="O62" s="1007"/>
      <c r="P62" s="1007"/>
      <c r="Q62" s="1007"/>
      <c r="R62" s="1007"/>
      <c r="S62" s="1007"/>
      <c r="T62" s="1007"/>
      <c r="U62" s="1007"/>
    </row>
    <row r="63" spans="5:21" ht="12.75">
      <c r="E63" s="1007"/>
      <c r="F63" s="1007"/>
      <c r="G63" s="1007"/>
      <c r="H63" s="1007"/>
      <c r="I63" s="1007"/>
      <c r="J63" s="1007"/>
      <c r="K63" s="1007"/>
      <c r="L63" s="1007"/>
      <c r="M63" s="1007"/>
      <c r="N63" s="1007"/>
      <c r="O63" s="1007"/>
      <c r="P63" s="1007"/>
      <c r="Q63" s="1007"/>
      <c r="R63" s="1007"/>
      <c r="S63" s="1007"/>
      <c r="T63" s="1007"/>
      <c r="U63" s="1007"/>
    </row>
    <row r="64" spans="5:21" ht="12.75">
      <c r="E64" s="1007"/>
      <c r="F64" s="1007"/>
      <c r="G64" s="1007"/>
      <c r="H64" s="1007"/>
      <c r="I64" s="1007"/>
      <c r="J64" s="1007"/>
      <c r="K64" s="1007"/>
      <c r="L64" s="1007"/>
      <c r="M64" s="1007"/>
      <c r="N64" s="1007"/>
      <c r="O64" s="1007"/>
      <c r="P64" s="1007"/>
      <c r="Q64" s="1007"/>
      <c r="R64" s="1007"/>
      <c r="S64" s="1007"/>
      <c r="T64" s="1007"/>
      <c r="U64" s="1007"/>
    </row>
    <row r="65" spans="5:21" ht="12.75">
      <c r="E65" s="1007"/>
      <c r="F65" s="1007"/>
      <c r="G65" s="1007"/>
      <c r="H65" s="1007"/>
      <c r="I65" s="1007"/>
      <c r="J65" s="1007"/>
      <c r="K65" s="1007"/>
      <c r="L65" s="1007"/>
      <c r="M65" s="1007"/>
      <c r="N65" s="1007"/>
      <c r="O65" s="1007"/>
      <c r="P65" s="1007"/>
      <c r="Q65" s="1007"/>
      <c r="R65" s="1007"/>
      <c r="S65" s="1007"/>
      <c r="T65" s="1007"/>
      <c r="U65" s="1007"/>
    </row>
    <row r="66" spans="5:21" ht="12.75">
      <c r="E66" s="1007"/>
      <c r="F66" s="1007"/>
      <c r="G66" s="1007"/>
      <c r="H66" s="1007"/>
      <c r="I66" s="1007"/>
      <c r="J66" s="1007"/>
      <c r="K66" s="1007"/>
      <c r="L66" s="1007"/>
      <c r="M66" s="1007"/>
      <c r="N66" s="1007"/>
      <c r="O66" s="1007"/>
      <c r="P66" s="1007"/>
      <c r="Q66" s="1007"/>
      <c r="R66" s="1007"/>
      <c r="S66" s="1007"/>
      <c r="T66" s="1007"/>
      <c r="U66" s="1007"/>
    </row>
    <row r="67" spans="5:21" ht="12.75">
      <c r="E67" s="1007"/>
      <c r="F67" s="1007"/>
      <c r="G67" s="1007"/>
      <c r="H67" s="1007"/>
      <c r="I67" s="1007"/>
      <c r="J67" s="1007"/>
      <c r="K67" s="1007"/>
      <c r="L67" s="1007"/>
      <c r="M67" s="1007"/>
      <c r="N67" s="1007"/>
      <c r="O67" s="1007"/>
      <c r="P67" s="1007"/>
      <c r="Q67" s="1007"/>
      <c r="R67" s="1007"/>
      <c r="S67" s="1007"/>
      <c r="T67" s="1007"/>
      <c r="U67" s="1007"/>
    </row>
    <row r="68" spans="5:21" ht="12.75">
      <c r="E68" s="1007"/>
      <c r="F68" s="1007"/>
      <c r="G68" s="1007"/>
      <c r="H68" s="1007"/>
      <c r="I68" s="1007"/>
      <c r="J68" s="1007"/>
      <c r="K68" s="1007"/>
      <c r="L68" s="1007"/>
      <c r="M68" s="1007"/>
      <c r="N68" s="1007"/>
      <c r="O68" s="1007"/>
      <c r="P68" s="1007"/>
      <c r="Q68" s="1007"/>
      <c r="R68" s="1007"/>
      <c r="S68" s="1007"/>
      <c r="T68" s="1007"/>
      <c r="U68" s="1007"/>
    </row>
    <row r="69" spans="5:21" ht="12.75">
      <c r="E69" s="1007"/>
      <c r="F69" s="1007"/>
      <c r="G69" s="1007"/>
      <c r="H69" s="1007"/>
      <c r="I69" s="1007"/>
      <c r="J69" s="1007"/>
      <c r="K69" s="1007"/>
      <c r="L69" s="1007"/>
      <c r="M69" s="1007"/>
      <c r="N69" s="1007"/>
      <c r="O69" s="1007"/>
      <c r="P69" s="1007"/>
      <c r="Q69" s="1007"/>
      <c r="R69" s="1007"/>
      <c r="S69" s="1007"/>
      <c r="T69" s="1007"/>
      <c r="U69" s="1007"/>
    </row>
    <row r="70" spans="5:21" ht="12.75">
      <c r="E70" s="1007"/>
      <c r="F70" s="1007"/>
      <c r="G70" s="1007"/>
      <c r="H70" s="1007"/>
      <c r="I70" s="1007"/>
      <c r="J70" s="1007"/>
      <c r="K70" s="1007"/>
      <c r="L70" s="1007"/>
      <c r="M70" s="1007"/>
      <c r="N70" s="1007"/>
      <c r="O70" s="1007"/>
      <c r="P70" s="1007"/>
      <c r="Q70" s="1007"/>
      <c r="R70" s="1007"/>
      <c r="S70" s="1007"/>
      <c r="T70" s="1007"/>
      <c r="U70" s="1007"/>
    </row>
    <row r="71" spans="5:21" ht="12.75"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/>
      <c r="S71" s="1007"/>
      <c r="T71" s="1007"/>
      <c r="U71" s="1007"/>
    </row>
    <row r="72" spans="5:21" ht="12.75">
      <c r="E72" s="1007"/>
      <c r="F72" s="1007"/>
      <c r="G72" s="1007"/>
      <c r="H72" s="1007"/>
      <c r="I72" s="1007"/>
      <c r="J72" s="1007"/>
      <c r="K72" s="1007"/>
      <c r="L72" s="1007"/>
      <c r="M72" s="1007"/>
      <c r="N72" s="1007"/>
      <c r="O72" s="1007"/>
      <c r="P72" s="1007"/>
      <c r="Q72" s="1007"/>
      <c r="R72" s="1007"/>
      <c r="S72" s="1007"/>
      <c r="T72" s="1007"/>
      <c r="U72" s="1007"/>
    </row>
    <row r="73" spans="5:21" ht="12.75"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7"/>
      <c r="Q73" s="1007"/>
      <c r="R73" s="1007"/>
      <c r="S73" s="1007"/>
      <c r="T73" s="1007"/>
      <c r="U73" s="1007"/>
    </row>
    <row r="74" spans="5:21" ht="12.75">
      <c r="E74" s="1007"/>
      <c r="F74" s="1007"/>
      <c r="G74" s="1007"/>
      <c r="H74" s="1007"/>
      <c r="I74" s="1007"/>
      <c r="J74" s="1007"/>
      <c r="K74" s="1007"/>
      <c r="L74" s="1007"/>
      <c r="M74" s="1007"/>
      <c r="N74" s="1007"/>
      <c r="O74" s="1007"/>
      <c r="P74" s="1007"/>
      <c r="Q74" s="1007"/>
      <c r="R74" s="1007"/>
      <c r="S74" s="1007"/>
      <c r="T74" s="1007"/>
      <c r="U74" s="1007"/>
    </row>
    <row r="75" spans="5:21" ht="12.75"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7"/>
      <c r="R75" s="1007"/>
      <c r="S75" s="1007"/>
      <c r="T75" s="1007"/>
      <c r="U75" s="1007"/>
    </row>
    <row r="76" spans="5:21" ht="12.75"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</row>
    <row r="77" spans="5:21" ht="12.75">
      <c r="E77" s="1007"/>
      <c r="F77" s="1007"/>
      <c r="G77" s="1007"/>
      <c r="H77" s="1007"/>
      <c r="I77" s="1007"/>
      <c r="J77" s="1007"/>
      <c r="K77" s="1007"/>
      <c r="L77" s="1007"/>
      <c r="M77" s="1007"/>
      <c r="N77" s="1007"/>
      <c r="O77" s="1007"/>
      <c r="P77" s="1007"/>
      <c r="Q77" s="1007"/>
      <c r="R77" s="1007"/>
      <c r="S77" s="1007"/>
      <c r="T77" s="1007"/>
      <c r="U77" s="1007"/>
    </row>
    <row r="78" spans="5:21" ht="12.75"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7"/>
      <c r="P78" s="1007"/>
      <c r="Q78" s="1007"/>
      <c r="R78" s="1007"/>
      <c r="S78" s="1007"/>
      <c r="T78" s="1007"/>
      <c r="U78" s="1007"/>
    </row>
    <row r="79" spans="5:21" ht="12.75">
      <c r="E79" s="1007"/>
      <c r="F79" s="1007"/>
      <c r="G79" s="1007"/>
      <c r="H79" s="1007"/>
      <c r="I79" s="1007"/>
      <c r="J79" s="1007"/>
      <c r="K79" s="1007"/>
      <c r="L79" s="1007"/>
      <c r="M79" s="1007"/>
      <c r="N79" s="1007"/>
      <c r="O79" s="1007"/>
      <c r="P79" s="1007"/>
      <c r="Q79" s="1007"/>
      <c r="R79" s="1007"/>
      <c r="S79" s="1007"/>
      <c r="T79" s="1007"/>
      <c r="U79" s="1007"/>
    </row>
    <row r="80" spans="5:21" ht="12.75">
      <c r="E80" s="1007"/>
      <c r="F80" s="1007"/>
      <c r="G80" s="1007"/>
      <c r="H80" s="1007"/>
      <c r="I80" s="1007"/>
      <c r="J80" s="1007"/>
      <c r="K80" s="1007"/>
      <c r="L80" s="1007"/>
      <c r="M80" s="1007"/>
      <c r="N80" s="1007"/>
      <c r="O80" s="1007"/>
      <c r="P80" s="1007"/>
      <c r="Q80" s="1007"/>
      <c r="R80" s="1007"/>
      <c r="S80" s="1007"/>
      <c r="T80" s="1007"/>
      <c r="U80" s="1007"/>
    </row>
    <row r="81" spans="5:21" ht="12.75">
      <c r="E81" s="1007"/>
      <c r="F81" s="1007"/>
      <c r="G81" s="1007"/>
      <c r="H81" s="1007"/>
      <c r="I81" s="1007"/>
      <c r="J81" s="1007"/>
      <c r="K81" s="1007"/>
      <c r="L81" s="1007"/>
      <c r="M81" s="1007"/>
      <c r="N81" s="1007"/>
      <c r="O81" s="1007"/>
      <c r="P81" s="1007"/>
      <c r="Q81" s="1007"/>
      <c r="R81" s="1007"/>
      <c r="S81" s="1007"/>
      <c r="T81" s="1007"/>
      <c r="U81" s="1007"/>
    </row>
    <row r="82" spans="5:21" ht="12.75">
      <c r="E82" s="1007"/>
      <c r="F82" s="1007"/>
      <c r="G82" s="1007"/>
      <c r="H82" s="1007"/>
      <c r="I82" s="1007"/>
      <c r="J82" s="1007"/>
      <c r="K82" s="1007"/>
      <c r="L82" s="1007"/>
      <c r="M82" s="1007"/>
      <c r="N82" s="1007"/>
      <c r="O82" s="1007"/>
      <c r="P82" s="1007"/>
      <c r="Q82" s="1007"/>
      <c r="R82" s="1007"/>
      <c r="S82" s="1007"/>
      <c r="T82" s="1007"/>
      <c r="U82" s="1007"/>
    </row>
    <row r="83" spans="5:21" ht="12.75">
      <c r="E83" s="1007"/>
      <c r="F83" s="1007"/>
      <c r="G83" s="1007"/>
      <c r="H83" s="1007"/>
      <c r="I83" s="1007"/>
      <c r="J83" s="1007"/>
      <c r="K83" s="1007"/>
      <c r="L83" s="1007"/>
      <c r="M83" s="1007"/>
      <c r="N83" s="1007"/>
      <c r="O83" s="1007"/>
      <c r="P83" s="1007"/>
      <c r="Q83" s="1007"/>
      <c r="R83" s="1007"/>
      <c r="S83" s="1007"/>
      <c r="T83" s="1007"/>
      <c r="U83" s="1007"/>
    </row>
    <row r="84" spans="5:21" ht="12.75">
      <c r="E84" s="1007"/>
      <c r="F84" s="1007"/>
      <c r="G84" s="1007"/>
      <c r="H84" s="1007"/>
      <c r="I84" s="1007"/>
      <c r="J84" s="1007"/>
      <c r="K84" s="1007"/>
      <c r="L84" s="1007"/>
      <c r="M84" s="1007"/>
      <c r="N84" s="1007"/>
      <c r="O84" s="1007"/>
      <c r="P84" s="1007"/>
      <c r="Q84" s="1007"/>
      <c r="R84" s="1007"/>
      <c r="S84" s="1007"/>
      <c r="T84" s="1007"/>
      <c r="U84" s="1007"/>
    </row>
    <row r="85" spans="5:21" ht="12.75">
      <c r="E85" s="1007"/>
      <c r="F85" s="1007"/>
      <c r="G85" s="1007"/>
      <c r="H85" s="1007"/>
      <c r="I85" s="1007"/>
      <c r="J85" s="1007"/>
      <c r="K85" s="1007"/>
      <c r="L85" s="1007"/>
      <c r="M85" s="1007"/>
      <c r="N85" s="1007"/>
      <c r="O85" s="1007"/>
      <c r="P85" s="1007"/>
      <c r="Q85" s="1007"/>
      <c r="R85" s="1007"/>
      <c r="S85" s="1007"/>
      <c r="T85" s="1007"/>
      <c r="U85" s="1007"/>
    </row>
    <row r="86" spans="5:21" ht="12.75">
      <c r="E86" s="1007"/>
      <c r="F86" s="1007"/>
      <c r="G86" s="1007"/>
      <c r="H86" s="1007"/>
      <c r="I86" s="1007"/>
      <c r="J86" s="1007"/>
      <c r="K86" s="1007"/>
      <c r="L86" s="1007"/>
      <c r="M86" s="1007"/>
      <c r="N86" s="1007"/>
      <c r="O86" s="1007"/>
      <c r="P86" s="1007"/>
      <c r="Q86" s="1007"/>
      <c r="R86" s="1007"/>
      <c r="S86" s="1007"/>
      <c r="T86" s="1007"/>
      <c r="U86" s="1007"/>
    </row>
    <row r="87" spans="5:21" ht="12.75"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</row>
    <row r="88" spans="5:21" ht="12.75">
      <c r="E88" s="1007"/>
      <c r="F88" s="1007"/>
      <c r="G88" s="1007"/>
      <c r="H88" s="1007"/>
      <c r="I88" s="1007"/>
      <c r="J88" s="1007"/>
      <c r="K88" s="1007"/>
      <c r="L88" s="1007"/>
      <c r="M88" s="1007"/>
      <c r="N88" s="1007"/>
      <c r="O88" s="1007"/>
      <c r="P88" s="1007"/>
      <c r="Q88" s="1007"/>
      <c r="R88" s="1007"/>
      <c r="S88" s="1007"/>
      <c r="T88" s="1007"/>
      <c r="U88" s="1007"/>
    </row>
    <row r="89" spans="5:21" ht="12.75">
      <c r="E89" s="1007"/>
      <c r="F89" s="1007"/>
      <c r="G89" s="1007"/>
      <c r="H89" s="1007"/>
      <c r="I89" s="1007"/>
      <c r="J89" s="1007"/>
      <c r="K89" s="1007"/>
      <c r="L89" s="1007"/>
      <c r="M89" s="1007"/>
      <c r="N89" s="1007"/>
      <c r="O89" s="1007"/>
      <c r="P89" s="1007"/>
      <c r="Q89" s="1007"/>
      <c r="R89" s="1007"/>
      <c r="S89" s="1007"/>
      <c r="T89" s="1007"/>
      <c r="U89" s="1007"/>
    </row>
    <row r="90" spans="5:21" ht="12.75">
      <c r="E90" s="1007"/>
      <c r="F90" s="1007"/>
      <c r="G90" s="1007"/>
      <c r="H90" s="1007"/>
      <c r="I90" s="1007"/>
      <c r="J90" s="1007"/>
      <c r="K90" s="1007"/>
      <c r="L90" s="1007"/>
      <c r="M90" s="1007"/>
      <c r="N90" s="1007"/>
      <c r="O90" s="1007"/>
      <c r="P90" s="1007"/>
      <c r="Q90" s="1007"/>
      <c r="R90" s="1007"/>
      <c r="S90" s="1007"/>
      <c r="T90" s="1007"/>
      <c r="U90" s="1007"/>
    </row>
    <row r="91" spans="5:21" ht="12.75">
      <c r="E91" s="1007"/>
      <c r="F91" s="1007"/>
      <c r="G91" s="1007"/>
      <c r="H91" s="1007"/>
      <c r="I91" s="1007"/>
      <c r="J91" s="1007"/>
      <c r="K91" s="1007"/>
      <c r="L91" s="1007"/>
      <c r="M91" s="1007"/>
      <c r="N91" s="1007"/>
      <c r="O91" s="1007"/>
      <c r="P91" s="1007"/>
      <c r="Q91" s="1007"/>
      <c r="R91" s="1007"/>
      <c r="S91" s="1007"/>
      <c r="T91" s="1007"/>
      <c r="U91" s="1007"/>
    </row>
    <row r="92" spans="5:21" ht="12.75">
      <c r="E92" s="1007"/>
      <c r="F92" s="1007"/>
      <c r="G92" s="1007"/>
      <c r="H92" s="1007"/>
      <c r="I92" s="1007"/>
      <c r="J92" s="1007"/>
      <c r="K92" s="1007"/>
      <c r="L92" s="1007"/>
      <c r="M92" s="1007"/>
      <c r="N92" s="1007"/>
      <c r="O92" s="1007"/>
      <c r="P92" s="1007"/>
      <c r="Q92" s="1007"/>
      <c r="R92" s="1007"/>
      <c r="S92" s="1007"/>
      <c r="T92" s="1007"/>
      <c r="U92" s="1007"/>
    </row>
    <row r="93" spans="5:21" ht="12.75"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7"/>
      <c r="S93" s="1007"/>
      <c r="T93" s="1007"/>
      <c r="U93" s="1007"/>
    </row>
    <row r="94" spans="5:21" ht="12.75">
      <c r="E94" s="1007"/>
      <c r="F94" s="1007"/>
      <c r="G94" s="1007"/>
      <c r="H94" s="1007"/>
      <c r="I94" s="1007"/>
      <c r="J94" s="1007"/>
      <c r="K94" s="1007"/>
      <c r="L94" s="1007"/>
      <c r="M94" s="1007"/>
      <c r="N94" s="1007"/>
      <c r="O94" s="1007"/>
      <c r="P94" s="1007"/>
      <c r="Q94" s="1007"/>
      <c r="R94" s="1007"/>
      <c r="S94" s="1007"/>
      <c r="T94" s="1007"/>
      <c r="U94" s="1007"/>
    </row>
    <row r="95" spans="5:21" ht="12.75">
      <c r="E95" s="1007"/>
      <c r="F95" s="1007"/>
      <c r="G95" s="1007"/>
      <c r="H95" s="1007"/>
      <c r="I95" s="1007"/>
      <c r="J95" s="1007"/>
      <c r="K95" s="1007"/>
      <c r="L95" s="1007"/>
      <c r="M95" s="1007"/>
      <c r="N95" s="1007"/>
      <c r="O95" s="1007"/>
      <c r="P95" s="1007"/>
      <c r="Q95" s="1007"/>
      <c r="R95" s="1007"/>
      <c r="S95" s="1007"/>
      <c r="T95" s="1007"/>
      <c r="U95" s="1007"/>
    </row>
    <row r="96" spans="5:21" ht="12.75">
      <c r="E96" s="1007"/>
      <c r="F96" s="1007"/>
      <c r="G96" s="1007"/>
      <c r="H96" s="1007"/>
      <c r="I96" s="1007"/>
      <c r="J96" s="1007"/>
      <c r="K96" s="1007"/>
      <c r="L96" s="1007"/>
      <c r="M96" s="1007"/>
      <c r="N96" s="1007"/>
      <c r="O96" s="1007"/>
      <c r="P96" s="1007"/>
      <c r="Q96" s="1007"/>
      <c r="R96" s="1007"/>
      <c r="S96" s="1007"/>
      <c r="T96" s="1007"/>
      <c r="U96" s="1007"/>
    </row>
    <row r="97" spans="5:21" ht="12.75">
      <c r="E97" s="1007"/>
      <c r="F97" s="1007"/>
      <c r="G97" s="1007"/>
      <c r="H97" s="1007"/>
      <c r="I97" s="1007"/>
      <c r="J97" s="1007"/>
      <c r="K97" s="1007"/>
      <c r="L97" s="1007"/>
      <c r="M97" s="1007"/>
      <c r="N97" s="1007"/>
      <c r="O97" s="1007"/>
      <c r="P97" s="1007"/>
      <c r="Q97" s="1007"/>
      <c r="R97" s="1007"/>
      <c r="S97" s="1007"/>
      <c r="T97" s="1007"/>
      <c r="U97" s="1007"/>
    </row>
    <row r="98" spans="5:21" ht="12.75">
      <c r="E98" s="1007"/>
      <c r="F98" s="1007"/>
      <c r="G98" s="1007"/>
      <c r="H98" s="1007"/>
      <c r="I98" s="1007"/>
      <c r="J98" s="1007"/>
      <c r="K98" s="1007"/>
      <c r="L98" s="1007"/>
      <c r="M98" s="1007"/>
      <c r="N98" s="1007"/>
      <c r="O98" s="1007"/>
      <c r="P98" s="1007"/>
      <c r="Q98" s="1007"/>
      <c r="R98" s="1007"/>
      <c r="S98" s="1007"/>
      <c r="T98" s="1007"/>
      <c r="U98" s="1007"/>
    </row>
    <row r="99" spans="5:21" ht="12.75">
      <c r="E99" s="1007"/>
      <c r="F99" s="1007"/>
      <c r="G99" s="1007"/>
      <c r="H99" s="1007"/>
      <c r="I99" s="1007"/>
      <c r="J99" s="1007"/>
      <c r="K99" s="1007"/>
      <c r="L99" s="1007"/>
      <c r="M99" s="1007"/>
      <c r="N99" s="1007"/>
      <c r="O99" s="1007"/>
      <c r="P99" s="1007"/>
      <c r="Q99" s="1007"/>
      <c r="R99" s="1007"/>
      <c r="S99" s="1007"/>
      <c r="T99" s="1007"/>
      <c r="U99" s="1007"/>
    </row>
    <row r="100" spans="5:21" ht="12.75">
      <c r="E100" s="1007"/>
      <c r="F100" s="1007"/>
      <c r="G100" s="1007"/>
      <c r="H100" s="1007"/>
      <c r="I100" s="1007"/>
      <c r="J100" s="1007"/>
      <c r="K100" s="1007"/>
      <c r="L100" s="1007"/>
      <c r="M100" s="1007"/>
      <c r="N100" s="1007"/>
      <c r="O100" s="1007"/>
      <c r="P100" s="1007"/>
      <c r="Q100" s="1007"/>
      <c r="R100" s="1007"/>
      <c r="S100" s="1007"/>
      <c r="T100" s="1007"/>
      <c r="U100" s="1007"/>
    </row>
    <row r="101" spans="5:21" ht="12.75">
      <c r="E101" s="1007"/>
      <c r="F101" s="1007"/>
      <c r="G101" s="1007"/>
      <c r="H101" s="1007"/>
      <c r="I101" s="1007"/>
      <c r="J101" s="1007"/>
      <c r="K101" s="1007"/>
      <c r="L101" s="1007"/>
      <c r="M101" s="1007"/>
      <c r="N101" s="1007"/>
      <c r="O101" s="1007"/>
      <c r="P101" s="1007"/>
      <c r="Q101" s="1007"/>
      <c r="R101" s="1007"/>
      <c r="S101" s="1007"/>
      <c r="T101" s="1007"/>
      <c r="U101" s="1007"/>
    </row>
    <row r="102" spans="5:21" ht="12.75">
      <c r="E102" s="1007"/>
      <c r="F102" s="1007"/>
      <c r="G102" s="1007"/>
      <c r="H102" s="1007"/>
      <c r="I102" s="1007"/>
      <c r="J102" s="1007"/>
      <c r="K102" s="1007"/>
      <c r="L102" s="1007"/>
      <c r="M102" s="1007"/>
      <c r="N102" s="1007"/>
      <c r="O102" s="1007"/>
      <c r="P102" s="1007"/>
      <c r="Q102" s="1007"/>
      <c r="R102" s="1007"/>
      <c r="S102" s="1007"/>
      <c r="T102" s="1007"/>
      <c r="U102" s="1007"/>
    </row>
    <row r="103" spans="5:21" ht="12.75">
      <c r="E103" s="1007"/>
      <c r="F103" s="1007"/>
      <c r="G103" s="1007"/>
      <c r="H103" s="1007"/>
      <c r="I103" s="1007"/>
      <c r="J103" s="1007"/>
      <c r="K103" s="1007"/>
      <c r="L103" s="1007"/>
      <c r="M103" s="1007"/>
      <c r="N103" s="1007"/>
      <c r="O103" s="1007"/>
      <c r="P103" s="1007"/>
      <c r="Q103" s="1007"/>
      <c r="R103" s="1007"/>
      <c r="S103" s="1007"/>
      <c r="T103" s="1007"/>
      <c r="U103" s="1007"/>
    </row>
    <row r="104" spans="5:21" ht="12.75"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</row>
    <row r="105" spans="5:21" ht="12.75">
      <c r="E105" s="1007"/>
      <c r="F105" s="1007"/>
      <c r="G105" s="1007"/>
      <c r="H105" s="1007"/>
      <c r="I105" s="1007"/>
      <c r="J105" s="1007"/>
      <c r="K105" s="1007"/>
      <c r="L105" s="1007"/>
      <c r="M105" s="1007"/>
      <c r="N105" s="1007"/>
      <c r="O105" s="1007"/>
      <c r="P105" s="1007"/>
      <c r="Q105" s="1007"/>
      <c r="R105" s="1007"/>
      <c r="S105" s="1007"/>
      <c r="T105" s="1007"/>
      <c r="U105" s="1007"/>
    </row>
    <row r="106" spans="5:21" ht="12.75">
      <c r="E106" s="1007"/>
      <c r="F106" s="1007"/>
      <c r="G106" s="1007"/>
      <c r="H106" s="1007"/>
      <c r="I106" s="1007"/>
      <c r="J106" s="1007"/>
      <c r="K106" s="1007"/>
      <c r="L106" s="1007"/>
      <c r="M106" s="1007"/>
      <c r="N106" s="1007"/>
      <c r="O106" s="1007"/>
      <c r="P106" s="1007"/>
      <c r="Q106" s="1007"/>
      <c r="R106" s="1007"/>
      <c r="S106" s="1007"/>
      <c r="T106" s="1007"/>
      <c r="U106" s="1007"/>
    </row>
    <row r="107" spans="5:21" ht="12.75"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1007"/>
      <c r="O107" s="1007"/>
      <c r="P107" s="1007"/>
      <c r="Q107" s="1007"/>
      <c r="R107" s="1007"/>
      <c r="S107" s="1007"/>
      <c r="T107" s="1007"/>
      <c r="U107" s="1007"/>
    </row>
    <row r="108" spans="5:21" ht="12.75">
      <c r="E108" s="1007"/>
      <c r="F108" s="1007"/>
      <c r="G108" s="1007"/>
      <c r="H108" s="1007"/>
      <c r="I108" s="1007"/>
      <c r="J108" s="1007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1007"/>
      <c r="U108" s="1007"/>
    </row>
    <row r="109" spans="5:21" ht="12.75"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7"/>
      <c r="P109" s="1007"/>
      <c r="Q109" s="1007"/>
      <c r="R109" s="1007"/>
      <c r="S109" s="1007"/>
      <c r="T109" s="1007"/>
      <c r="U109" s="1007"/>
    </row>
    <row r="110" spans="5:21" ht="12.75"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  <c r="O110" s="1007"/>
      <c r="P110" s="1007"/>
      <c r="Q110" s="1007"/>
      <c r="R110" s="1007"/>
      <c r="S110" s="1007"/>
      <c r="T110" s="1007"/>
      <c r="U110" s="1007"/>
    </row>
    <row r="111" spans="5:21" ht="12.75">
      <c r="E111" s="1007"/>
      <c r="F111" s="1007"/>
      <c r="G111" s="1007"/>
      <c r="H111" s="1007"/>
      <c r="I111" s="1007"/>
      <c r="J111" s="1007"/>
      <c r="K111" s="1007"/>
      <c r="L111" s="1007"/>
      <c r="M111" s="1007"/>
      <c r="N111" s="1007"/>
      <c r="O111" s="1007"/>
      <c r="P111" s="1007"/>
      <c r="Q111" s="1007"/>
      <c r="R111" s="1007"/>
      <c r="S111" s="1007"/>
      <c r="T111" s="1007"/>
      <c r="U111" s="1007"/>
    </row>
    <row r="112" spans="5:21" ht="12.75">
      <c r="E112" s="1007"/>
      <c r="F112" s="1007"/>
      <c r="G112" s="1007"/>
      <c r="H112" s="1007"/>
      <c r="I112" s="1007"/>
      <c r="J112" s="1007"/>
      <c r="K112" s="1007"/>
      <c r="L112" s="1007"/>
      <c r="M112" s="1007"/>
      <c r="N112" s="1007"/>
      <c r="O112" s="1007"/>
      <c r="P112" s="1007"/>
      <c r="Q112" s="1007"/>
      <c r="R112" s="1007"/>
      <c r="S112" s="1007"/>
      <c r="T112" s="1007"/>
      <c r="U112" s="1007"/>
    </row>
    <row r="113" spans="5:21" ht="12.75"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7"/>
      <c r="O113" s="1007"/>
      <c r="P113" s="1007"/>
      <c r="Q113" s="1007"/>
      <c r="R113" s="1007"/>
      <c r="S113" s="1007"/>
      <c r="T113" s="1007"/>
      <c r="U113" s="1007"/>
    </row>
    <row r="114" spans="5:21" ht="12.75">
      <c r="E114" s="1007"/>
      <c r="F114" s="1007"/>
      <c r="G114" s="1007"/>
      <c r="H114" s="1007"/>
      <c r="I114" s="1007"/>
      <c r="J114" s="1007"/>
      <c r="K114" s="1007"/>
      <c r="L114" s="1007"/>
      <c r="M114" s="1007"/>
      <c r="N114" s="1007"/>
      <c r="O114" s="1007"/>
      <c r="P114" s="1007"/>
      <c r="Q114" s="1007"/>
      <c r="R114" s="1007"/>
      <c r="S114" s="1007"/>
      <c r="T114" s="1007"/>
      <c r="U114" s="1007"/>
    </row>
    <row r="115" spans="5:21" ht="12.75"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7"/>
      <c r="O115" s="1007"/>
      <c r="P115" s="1007"/>
      <c r="Q115" s="1007"/>
      <c r="R115" s="1007"/>
      <c r="S115" s="1007"/>
      <c r="T115" s="1007"/>
      <c r="U115" s="1007"/>
    </row>
    <row r="116" spans="5:21" ht="12.75">
      <c r="E116" s="1007"/>
      <c r="F116" s="1007"/>
      <c r="G116" s="1007"/>
      <c r="H116" s="1007"/>
      <c r="I116" s="1007"/>
      <c r="J116" s="1007"/>
      <c r="K116" s="1007"/>
      <c r="L116" s="1007"/>
      <c r="M116" s="1007"/>
      <c r="N116" s="1007"/>
      <c r="O116" s="1007"/>
      <c r="P116" s="1007"/>
      <c r="Q116" s="1007"/>
      <c r="R116" s="1007"/>
      <c r="S116" s="1007"/>
      <c r="T116" s="1007"/>
      <c r="U116" s="1007"/>
    </row>
    <row r="117" spans="5:21" ht="12.75"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</row>
    <row r="118" spans="5:21" ht="12.75"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</row>
    <row r="119" spans="5:21" ht="12.75">
      <c r="E119" s="1007"/>
      <c r="F119" s="1007"/>
      <c r="G119" s="1007"/>
      <c r="H119" s="1007"/>
      <c r="I119" s="1007"/>
      <c r="J119" s="1007"/>
      <c r="K119" s="1007"/>
      <c r="L119" s="1007"/>
      <c r="M119" s="1007"/>
      <c r="N119" s="1007"/>
      <c r="O119" s="1007"/>
      <c r="P119" s="1007"/>
      <c r="Q119" s="1007"/>
      <c r="R119" s="1007"/>
      <c r="S119" s="1007"/>
      <c r="T119" s="1007"/>
      <c r="U119" s="1007"/>
    </row>
    <row r="120" spans="5:21" ht="12.75">
      <c r="E120" s="1007"/>
      <c r="F120" s="1007"/>
      <c r="G120" s="1007"/>
      <c r="H120" s="1007"/>
      <c r="I120" s="1007"/>
      <c r="J120" s="1007"/>
      <c r="K120" s="1007"/>
      <c r="L120" s="1007"/>
      <c r="M120" s="1007"/>
      <c r="N120" s="1007"/>
      <c r="O120" s="1007"/>
      <c r="P120" s="1007"/>
      <c r="Q120" s="1007"/>
      <c r="R120" s="1007"/>
      <c r="S120" s="1007"/>
      <c r="T120" s="1007"/>
      <c r="U120" s="1007"/>
    </row>
    <row r="121" spans="5:21" ht="12.75">
      <c r="E121" s="1007"/>
      <c r="F121" s="1007"/>
      <c r="G121" s="1007"/>
      <c r="H121" s="1007"/>
      <c r="I121" s="1007"/>
      <c r="J121" s="1007"/>
      <c r="K121" s="1007"/>
      <c r="L121" s="1007"/>
      <c r="M121" s="1007"/>
      <c r="N121" s="1007"/>
      <c r="O121" s="1007"/>
      <c r="P121" s="1007"/>
      <c r="Q121" s="1007"/>
      <c r="R121" s="1007"/>
      <c r="S121" s="1007"/>
      <c r="T121" s="1007"/>
      <c r="U121" s="1007"/>
    </row>
    <row r="122" spans="5:21" ht="12.75">
      <c r="E122" s="1007"/>
      <c r="F122" s="1007"/>
      <c r="G122" s="1007"/>
      <c r="H122" s="1007"/>
      <c r="I122" s="1007"/>
      <c r="J122" s="1007"/>
      <c r="K122" s="1007"/>
      <c r="L122" s="1007"/>
      <c r="M122" s="1007"/>
      <c r="N122" s="1007"/>
      <c r="O122" s="1007"/>
      <c r="P122" s="1007"/>
      <c r="Q122" s="1007"/>
      <c r="R122" s="1007"/>
      <c r="S122" s="1007"/>
      <c r="T122" s="1007"/>
      <c r="U122" s="1007"/>
    </row>
  </sheetData>
  <sheetProtection/>
  <mergeCells count="13">
    <mergeCell ref="I14:J14"/>
    <mergeCell ref="N14:O14"/>
    <mergeCell ref="I15:J15"/>
    <mergeCell ref="N15:O15"/>
    <mergeCell ref="I16:J16"/>
    <mergeCell ref="N16:O16"/>
    <mergeCell ref="A5:R5"/>
    <mergeCell ref="F11:P11"/>
    <mergeCell ref="F12:K12"/>
    <mergeCell ref="M12:P12"/>
    <mergeCell ref="F13:H13"/>
    <mergeCell ref="I13:J13"/>
    <mergeCell ref="N13:O13"/>
  </mergeCells>
  <printOptions horizontalCentered="1" verticalCentered="1"/>
  <pageMargins left="0.07874015748031496" right="0.07874015748031496" top="0.31496062992125984" bottom="0.31496062992125984" header="0.1968503937007874" footer="0.1574803149606299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1"/>
  <sheetViews>
    <sheetView zoomScale="110" zoomScaleNormal="110" zoomScalePageLayoutView="0" workbookViewId="0" topLeftCell="H1">
      <selection activeCell="R2" sqref="R2"/>
    </sheetView>
  </sheetViews>
  <sheetFormatPr defaultColWidth="9.00390625" defaultRowHeight="12.75"/>
  <cols>
    <col min="1" max="1" width="4.25390625" style="0" customWidth="1"/>
    <col min="2" max="2" width="43.75390625" style="0" customWidth="1"/>
    <col min="3" max="18" width="9.75390625" style="0" customWidth="1"/>
    <col min="19" max="19" width="7.625" style="0" customWidth="1"/>
  </cols>
  <sheetData>
    <row r="1" spans="17:18" ht="12.75">
      <c r="Q1" s="1612"/>
      <c r="R1" s="2011" t="s">
        <v>1264</v>
      </c>
    </row>
    <row r="2" spans="1:2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011" t="s">
        <v>71</v>
      </c>
      <c r="S2" s="54"/>
      <c r="T2" s="54"/>
    </row>
    <row r="3" spans="1:20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2.5" customHeight="1">
      <c r="A4" s="2275" t="s">
        <v>1222</v>
      </c>
      <c r="B4" s="2275"/>
      <c r="C4" s="2275"/>
      <c r="D4" s="2275"/>
      <c r="E4" s="2275"/>
      <c r="F4" s="2275"/>
      <c r="G4" s="2275"/>
      <c r="H4" s="2275"/>
      <c r="I4" s="2275"/>
      <c r="J4" s="2275"/>
      <c r="K4" s="2275"/>
      <c r="L4" s="2275"/>
      <c r="M4" s="2275"/>
      <c r="N4" s="2275"/>
      <c r="O4" s="2275"/>
      <c r="P4" s="2275"/>
      <c r="Q4" s="2275"/>
      <c r="R4" s="2275"/>
      <c r="S4" s="330"/>
      <c r="T4" s="330"/>
    </row>
    <row r="5" spans="1:20" ht="22.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1:20" ht="12.75">
      <c r="A6" s="54"/>
      <c r="B6" s="2275"/>
      <c r="C6" s="2275"/>
      <c r="D6" s="2275"/>
      <c r="E6" s="2275"/>
      <c r="F6" s="2275"/>
      <c r="G6" s="2275"/>
      <c r="H6" s="2275"/>
      <c r="I6" s="2275"/>
      <c r="J6" s="2275"/>
      <c r="K6" s="2275"/>
      <c r="L6" s="2275"/>
      <c r="M6" s="2275"/>
      <c r="N6" s="2275"/>
      <c r="O6" s="2275"/>
      <c r="P6" s="2275"/>
      <c r="Q6" s="2275"/>
      <c r="R6" s="2275"/>
      <c r="S6" s="330"/>
      <c r="T6" s="330"/>
    </row>
    <row r="7" spans="1:20" ht="13.5" thickBo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789" t="s">
        <v>1011</v>
      </c>
      <c r="S7" s="54"/>
      <c r="T7" s="54"/>
    </row>
    <row r="8" spans="1:20" ht="13.5" thickBot="1">
      <c r="A8" s="1715"/>
      <c r="B8" s="1716"/>
      <c r="C8" s="2290" t="s">
        <v>580</v>
      </c>
      <c r="D8" s="2290"/>
      <c r="E8" s="2290"/>
      <c r="F8" s="2290"/>
      <c r="G8" s="2290"/>
      <c r="H8" s="2290"/>
      <c r="I8" s="2290"/>
      <c r="J8" s="2290"/>
      <c r="K8" s="2290"/>
      <c r="L8" s="2290"/>
      <c r="M8" s="2276"/>
      <c r="N8" s="2276"/>
      <c r="O8" s="2276"/>
      <c r="P8" s="2276"/>
      <c r="Q8" s="2276"/>
      <c r="R8" s="2277"/>
      <c r="S8" s="765"/>
      <c r="T8" s="765"/>
    </row>
    <row r="9" spans="1:20" ht="20.25" customHeight="1" thickBot="1">
      <c r="A9" s="1799"/>
      <c r="B9" s="1800"/>
      <c r="C9" s="2291" t="s">
        <v>922</v>
      </c>
      <c r="D9" s="2292"/>
      <c r="E9" s="2292"/>
      <c r="F9" s="2292"/>
      <c r="G9" s="2292"/>
      <c r="H9" s="2292"/>
      <c r="I9" s="2292"/>
      <c r="J9" s="2292"/>
      <c r="K9" s="1801"/>
      <c r="L9" s="1802"/>
      <c r="M9" s="2293" t="s">
        <v>581</v>
      </c>
      <c r="N9" s="2279"/>
      <c r="O9" s="2278"/>
      <c r="P9" s="2278"/>
      <c r="Q9" s="2279"/>
      <c r="R9" s="2280"/>
      <c r="S9" s="765"/>
      <c r="T9" s="765"/>
    </row>
    <row r="10" spans="1:20" ht="47.25" customHeight="1">
      <c r="A10" s="1720" t="s">
        <v>530</v>
      </c>
      <c r="B10" s="1721" t="s">
        <v>607</v>
      </c>
      <c r="C10" s="2268" t="s">
        <v>1012</v>
      </c>
      <c r="D10" s="2267"/>
      <c r="E10" s="2266" t="s">
        <v>923</v>
      </c>
      <c r="F10" s="2267"/>
      <c r="G10" s="2266" t="s">
        <v>583</v>
      </c>
      <c r="H10" s="2267"/>
      <c r="I10" s="2266" t="s">
        <v>584</v>
      </c>
      <c r="J10" s="2268"/>
      <c r="K10" s="2269" t="s">
        <v>924</v>
      </c>
      <c r="L10" s="2287"/>
      <c r="M10" s="2288" t="s">
        <v>586</v>
      </c>
      <c r="N10" s="2273"/>
      <c r="O10" s="2272" t="s">
        <v>587</v>
      </c>
      <c r="P10" s="2289"/>
      <c r="Q10" s="2272" t="s">
        <v>57</v>
      </c>
      <c r="R10" s="2274"/>
      <c r="S10" s="769"/>
      <c r="T10" s="766"/>
    </row>
    <row r="11" spans="1:20" ht="32.25" customHeight="1">
      <c r="A11" s="1722"/>
      <c r="B11" s="1721"/>
      <c r="C11" s="1723" t="s">
        <v>193</v>
      </c>
      <c r="D11" s="1725" t="s">
        <v>302</v>
      </c>
      <c r="E11" s="1723" t="s">
        <v>193</v>
      </c>
      <c r="F11" s="1725" t="s">
        <v>302</v>
      </c>
      <c r="G11" s="1723" t="s">
        <v>193</v>
      </c>
      <c r="H11" s="1725" t="s">
        <v>302</v>
      </c>
      <c r="I11" s="1723" t="s">
        <v>193</v>
      </c>
      <c r="J11" s="1724" t="s">
        <v>302</v>
      </c>
      <c r="K11" s="1722" t="s">
        <v>193</v>
      </c>
      <c r="L11" s="1724" t="s">
        <v>302</v>
      </c>
      <c r="M11" s="1722" t="s">
        <v>193</v>
      </c>
      <c r="N11" s="1724" t="s">
        <v>302</v>
      </c>
      <c r="O11" s="1725" t="s">
        <v>193</v>
      </c>
      <c r="P11" s="1724" t="s">
        <v>302</v>
      </c>
      <c r="Q11" s="1725" t="s">
        <v>193</v>
      </c>
      <c r="R11" s="1727" t="s">
        <v>302</v>
      </c>
      <c r="S11" s="769"/>
      <c r="T11" s="766"/>
    </row>
    <row r="12" spans="1:20" ht="12.75">
      <c r="A12" s="1728">
        <v>1</v>
      </c>
      <c r="B12" s="1729">
        <v>2</v>
      </c>
      <c r="C12" s="1803">
        <v>3</v>
      </c>
      <c r="D12" s="1803">
        <v>4</v>
      </c>
      <c r="E12" s="1731">
        <v>5</v>
      </c>
      <c r="F12" s="1731">
        <v>6</v>
      </c>
      <c r="G12" s="1731">
        <v>7</v>
      </c>
      <c r="H12" s="1731">
        <v>8</v>
      </c>
      <c r="I12" s="1731">
        <v>9</v>
      </c>
      <c r="J12" s="1732">
        <v>10</v>
      </c>
      <c r="K12" s="1728">
        <v>11</v>
      </c>
      <c r="L12" s="1732">
        <v>12</v>
      </c>
      <c r="M12" s="1733">
        <v>13</v>
      </c>
      <c r="N12" s="1734">
        <v>14</v>
      </c>
      <c r="O12" s="1732">
        <v>15</v>
      </c>
      <c r="P12" s="1731">
        <v>16</v>
      </c>
      <c r="Q12" s="1732">
        <v>17</v>
      </c>
      <c r="R12" s="1729">
        <v>18</v>
      </c>
      <c r="S12" s="767"/>
      <c r="T12" s="767"/>
    </row>
    <row r="13" spans="1:20" ht="12.75">
      <c r="A13" s="1752"/>
      <c r="B13" s="1756"/>
      <c r="C13" s="1757"/>
      <c r="D13" s="1757"/>
      <c r="E13" s="1758"/>
      <c r="F13" s="1758"/>
      <c r="G13" s="1758"/>
      <c r="H13" s="1758"/>
      <c r="I13" s="1758"/>
      <c r="J13" s="1759"/>
      <c r="K13" s="1760"/>
      <c r="L13" s="1759"/>
      <c r="M13" s="1761"/>
      <c r="N13" s="768"/>
      <c r="O13" s="1759"/>
      <c r="P13" s="1758"/>
      <c r="Q13" s="1759"/>
      <c r="R13" s="1751"/>
      <c r="S13" s="768"/>
      <c r="T13" s="768"/>
    </row>
    <row r="14" spans="1:20" ht="15" customHeight="1">
      <c r="A14" s="1638" t="s">
        <v>482</v>
      </c>
      <c r="B14" s="1743" t="s">
        <v>590</v>
      </c>
      <c r="C14" s="1757">
        <v>18419</v>
      </c>
      <c r="D14" s="1757">
        <f>12462*1.27</f>
        <v>15826.74</v>
      </c>
      <c r="E14" s="1758">
        <v>5682</v>
      </c>
      <c r="F14" s="1758">
        <f>4416*1.27</f>
        <v>5608.32</v>
      </c>
      <c r="G14" s="1758">
        <v>2686</v>
      </c>
      <c r="H14" s="1758">
        <f>2016*1.27</f>
        <v>2560.32</v>
      </c>
      <c r="I14" s="1758">
        <v>2032</v>
      </c>
      <c r="J14" s="1759">
        <f>(1231+417)*1.27</f>
        <v>2092.96</v>
      </c>
      <c r="K14" s="1804">
        <f>C14+E14+G14+I14</f>
        <v>28819</v>
      </c>
      <c r="L14" s="1805">
        <f>D14+F14+H14+J14</f>
        <v>26088.339999999997</v>
      </c>
      <c r="M14" s="1749"/>
      <c r="N14" s="1750"/>
      <c r="O14" s="1746"/>
      <c r="P14" s="1745"/>
      <c r="Q14" s="1746"/>
      <c r="R14" s="1751"/>
      <c r="S14" s="768"/>
      <c r="T14" s="768"/>
    </row>
    <row r="15" spans="1:20" ht="15" customHeight="1">
      <c r="A15" s="1638" t="s">
        <v>155</v>
      </c>
      <c r="B15" s="1743" t="s">
        <v>591</v>
      </c>
      <c r="C15" s="1757">
        <v>11727</v>
      </c>
      <c r="D15" s="1757">
        <f>9296*1.27</f>
        <v>11805.92</v>
      </c>
      <c r="E15" s="1758">
        <v>4815</v>
      </c>
      <c r="F15" s="1758">
        <f>3955*1.27</f>
        <v>5022.85</v>
      </c>
      <c r="G15" s="1758">
        <v>1270</v>
      </c>
      <c r="H15" s="1758">
        <f>746*1.27</f>
        <v>947.42</v>
      </c>
      <c r="I15" s="1758">
        <v>2667</v>
      </c>
      <c r="J15" s="1759">
        <f>(1813+385)*1.27</f>
        <v>2791.46</v>
      </c>
      <c r="K15" s="1804">
        <f aca="true" t="shared" si="0" ref="K15:L27">C15+E15+G15+I15</f>
        <v>20479</v>
      </c>
      <c r="L15" s="1805">
        <f t="shared" si="0"/>
        <v>20567.649999999998</v>
      </c>
      <c r="M15" s="1749"/>
      <c r="N15" s="1750"/>
      <c r="O15" s="1746"/>
      <c r="P15" s="1745"/>
      <c r="Q15" s="1746">
        <v>25729</v>
      </c>
      <c r="R15" s="1751">
        <f>20259*1.27</f>
        <v>25728.93</v>
      </c>
      <c r="S15" s="768"/>
      <c r="T15" s="768"/>
    </row>
    <row r="16" spans="1:20" ht="15" customHeight="1">
      <c r="A16" s="1638" t="s">
        <v>156</v>
      </c>
      <c r="B16" s="1743" t="s">
        <v>592</v>
      </c>
      <c r="C16" s="1757">
        <v>18966</v>
      </c>
      <c r="D16" s="1757">
        <f>12850*1.27</f>
        <v>16319.5</v>
      </c>
      <c r="E16" s="1758">
        <v>8195</v>
      </c>
      <c r="F16" s="1758">
        <f>6660*1.27</f>
        <v>8458.2</v>
      </c>
      <c r="G16" s="1758">
        <v>2286</v>
      </c>
      <c r="H16" s="1758">
        <f>1886*1.27</f>
        <v>2395.2200000000003</v>
      </c>
      <c r="I16" s="1758">
        <v>2159</v>
      </c>
      <c r="J16" s="1759">
        <f>(1199+385)*1.27</f>
        <v>2011.68</v>
      </c>
      <c r="K16" s="1804">
        <f t="shared" si="0"/>
        <v>31606</v>
      </c>
      <c r="L16" s="1805">
        <f t="shared" si="0"/>
        <v>29184.600000000002</v>
      </c>
      <c r="M16" s="1749">
        <v>17244</v>
      </c>
      <c r="N16" s="1750">
        <f>(8483+5089)*1.27</f>
        <v>17236.44</v>
      </c>
      <c r="O16" s="1746"/>
      <c r="P16" s="1745"/>
      <c r="Q16" s="1746"/>
      <c r="R16" s="1751"/>
      <c r="S16" s="768"/>
      <c r="T16" s="768"/>
    </row>
    <row r="17" spans="1:20" ht="15" customHeight="1">
      <c r="A17" s="1638" t="s">
        <v>157</v>
      </c>
      <c r="B17" s="1743" t="s">
        <v>593</v>
      </c>
      <c r="C17" s="1757">
        <v>7674</v>
      </c>
      <c r="D17" s="1757">
        <f>5561*1.27</f>
        <v>7062.47</v>
      </c>
      <c r="E17" s="1758">
        <v>4954</v>
      </c>
      <c r="F17" s="1758">
        <f>4033*1.27</f>
        <v>5121.91</v>
      </c>
      <c r="G17" s="1758">
        <v>1651</v>
      </c>
      <c r="H17" s="1758">
        <f>1004*1.27</f>
        <v>1275.08</v>
      </c>
      <c r="I17" s="1758">
        <v>1905</v>
      </c>
      <c r="J17" s="1759">
        <f>(951+529)*1.27</f>
        <v>1879.6000000000001</v>
      </c>
      <c r="K17" s="1804">
        <f t="shared" si="0"/>
        <v>16184</v>
      </c>
      <c r="L17" s="1805">
        <f t="shared" si="0"/>
        <v>15339.060000000001</v>
      </c>
      <c r="M17" s="1749"/>
      <c r="N17" s="1750"/>
      <c r="O17" s="1746"/>
      <c r="P17" s="1745"/>
      <c r="Q17" s="1746"/>
      <c r="R17" s="1751"/>
      <c r="S17" s="768"/>
      <c r="T17" s="768"/>
    </row>
    <row r="18" spans="1:20" ht="15" customHeight="1">
      <c r="A18" s="1638" t="s">
        <v>158</v>
      </c>
      <c r="B18" s="1743" t="s">
        <v>594</v>
      </c>
      <c r="C18" s="1757">
        <v>24369</v>
      </c>
      <c r="D18" s="1757">
        <f>18432*1.27</f>
        <v>23408.64</v>
      </c>
      <c r="E18" s="1758">
        <v>9653</v>
      </c>
      <c r="F18" s="1758">
        <f>8060*1.27</f>
        <v>10236.2</v>
      </c>
      <c r="G18" s="1758">
        <v>3556</v>
      </c>
      <c r="H18" s="1758">
        <f>2049*1.27</f>
        <v>2602.23</v>
      </c>
      <c r="I18" s="1758">
        <v>1905</v>
      </c>
      <c r="J18" s="1759">
        <f>(1204+152)*1.27</f>
        <v>1722.1200000000001</v>
      </c>
      <c r="K18" s="1804">
        <f t="shared" si="0"/>
        <v>39483</v>
      </c>
      <c r="L18" s="1805">
        <f t="shared" si="0"/>
        <v>37969.19</v>
      </c>
      <c r="M18" s="1749"/>
      <c r="N18" s="1750"/>
      <c r="O18" s="1746"/>
      <c r="P18" s="1745"/>
      <c r="Q18" s="1746"/>
      <c r="R18" s="1751"/>
      <c r="S18" s="768"/>
      <c r="T18" s="768"/>
    </row>
    <row r="19" spans="1:20" ht="15" customHeight="1">
      <c r="A19" s="1638" t="s">
        <v>159</v>
      </c>
      <c r="B19" s="1743" t="s">
        <v>595</v>
      </c>
      <c r="C19" s="1757">
        <v>27748</v>
      </c>
      <c r="D19" s="1757">
        <f>(24610*1.05)+17</f>
        <v>25857.5</v>
      </c>
      <c r="E19" s="1758">
        <v>4366</v>
      </c>
      <c r="F19" s="1758">
        <f>3163*1.27</f>
        <v>4017.01</v>
      </c>
      <c r="G19" s="1758">
        <v>3175</v>
      </c>
      <c r="H19" s="1758">
        <f>2448*1.27</f>
        <v>3108.96</v>
      </c>
      <c r="I19" s="1758">
        <v>1270</v>
      </c>
      <c r="J19" s="1759">
        <f>(633+385)*1.27</f>
        <v>1292.8600000000001</v>
      </c>
      <c r="K19" s="1804">
        <f t="shared" si="0"/>
        <v>36559</v>
      </c>
      <c r="L19" s="1805">
        <f t="shared" si="0"/>
        <v>34276.33</v>
      </c>
      <c r="M19" s="1749"/>
      <c r="N19" s="1750"/>
      <c r="O19" s="1746"/>
      <c r="P19" s="1745"/>
      <c r="Q19" s="1746"/>
      <c r="R19" s="1751"/>
      <c r="S19" s="768"/>
      <c r="T19" s="768"/>
    </row>
    <row r="20" spans="1:20" ht="15" customHeight="1">
      <c r="A20" s="1638" t="s">
        <v>160</v>
      </c>
      <c r="B20" s="1743" t="s">
        <v>226</v>
      </c>
      <c r="C20" s="1757">
        <v>28577</v>
      </c>
      <c r="D20" s="1757">
        <f>22697*1.27</f>
        <v>28825.19</v>
      </c>
      <c r="E20" s="1758">
        <v>7757</v>
      </c>
      <c r="F20" s="1758">
        <f>6786*1.27</f>
        <v>8618.22</v>
      </c>
      <c r="G20" s="1758">
        <v>1905</v>
      </c>
      <c r="H20" s="1758">
        <f>1379*1.27</f>
        <v>1751.33</v>
      </c>
      <c r="I20" s="1758">
        <v>1080</v>
      </c>
      <c r="J20" s="1759">
        <f>(777+160)*1.27</f>
        <v>1189.99</v>
      </c>
      <c r="K20" s="1804">
        <f t="shared" si="0"/>
        <v>39319</v>
      </c>
      <c r="L20" s="1805">
        <f t="shared" si="0"/>
        <v>40384.729999999996</v>
      </c>
      <c r="M20" s="1749">
        <v>21993</v>
      </c>
      <c r="N20" s="1750">
        <f>(10417+4241)*1.27</f>
        <v>18615.66</v>
      </c>
      <c r="O20" s="1746"/>
      <c r="P20" s="1745"/>
      <c r="Q20" s="1746">
        <v>5107</v>
      </c>
      <c r="R20" s="1751">
        <f>4021*1.27</f>
        <v>5106.67</v>
      </c>
      <c r="S20" s="768"/>
      <c r="T20" s="768"/>
    </row>
    <row r="21" spans="1:20" ht="15" customHeight="1">
      <c r="A21" s="1638" t="s">
        <v>161</v>
      </c>
      <c r="B21" s="1743" t="s">
        <v>596</v>
      </c>
      <c r="C21" s="1757">
        <v>12434</v>
      </c>
      <c r="D21" s="1757">
        <f>9067*1.27</f>
        <v>11515.09</v>
      </c>
      <c r="E21" s="1758">
        <v>4768</v>
      </c>
      <c r="F21" s="1758">
        <f>3430*1.27</f>
        <v>4356.1</v>
      </c>
      <c r="G21" s="1758">
        <v>1800</v>
      </c>
      <c r="H21" s="1758">
        <f>1313*1.27</f>
        <v>1667.51</v>
      </c>
      <c r="I21" s="1758">
        <v>953</v>
      </c>
      <c r="J21" s="1759">
        <f>(326+279)*1.27</f>
        <v>768.35</v>
      </c>
      <c r="K21" s="1804">
        <f t="shared" si="0"/>
        <v>19955</v>
      </c>
      <c r="L21" s="1805">
        <f t="shared" si="0"/>
        <v>18307.05</v>
      </c>
      <c r="M21" s="1749"/>
      <c r="N21" s="1750"/>
      <c r="O21" s="1746"/>
      <c r="P21" s="1745"/>
      <c r="Q21" s="1746"/>
      <c r="R21" s="1751"/>
      <c r="S21" s="768"/>
      <c r="T21" s="768"/>
    </row>
    <row r="22" spans="1:20" ht="15" customHeight="1">
      <c r="A22" s="1638" t="s">
        <v>162</v>
      </c>
      <c r="B22" s="1743" t="s">
        <v>597</v>
      </c>
      <c r="C22" s="1757">
        <v>9320</v>
      </c>
      <c r="D22" s="1757">
        <f>7669*1.27</f>
        <v>9739.630000000001</v>
      </c>
      <c r="E22" s="1758">
        <v>4871</v>
      </c>
      <c r="F22" s="1758">
        <f>3441*1.27</f>
        <v>4370.07</v>
      </c>
      <c r="G22" s="1758">
        <v>794</v>
      </c>
      <c r="H22" s="1758">
        <f>663*1.27</f>
        <v>842.01</v>
      </c>
      <c r="I22" s="1758">
        <v>1270</v>
      </c>
      <c r="J22" s="1759">
        <f>(562+335)*1.27</f>
        <v>1139.19</v>
      </c>
      <c r="K22" s="1804">
        <f t="shared" si="0"/>
        <v>16255</v>
      </c>
      <c r="L22" s="1805">
        <f t="shared" si="0"/>
        <v>16090.900000000001</v>
      </c>
      <c r="M22" s="1749"/>
      <c r="N22" s="1750"/>
      <c r="O22" s="1746"/>
      <c r="P22" s="1745"/>
      <c r="Q22" s="1746"/>
      <c r="R22" s="1751"/>
      <c r="S22" s="768"/>
      <c r="T22" s="768"/>
    </row>
    <row r="23" spans="1:20" ht="15" customHeight="1">
      <c r="A23" s="1638" t="s">
        <v>163</v>
      </c>
      <c r="B23" s="1743" t="s">
        <v>34</v>
      </c>
      <c r="C23" s="1757">
        <v>17319</v>
      </c>
      <c r="D23" s="1757">
        <f>11355*1.27</f>
        <v>14420.85</v>
      </c>
      <c r="E23" s="1758">
        <v>7985</v>
      </c>
      <c r="F23" s="1758">
        <f>6439*1.27</f>
        <v>8177.53</v>
      </c>
      <c r="G23" s="1758">
        <v>1905</v>
      </c>
      <c r="H23" s="1758">
        <f>1539*1.27</f>
        <v>1954.53</v>
      </c>
      <c r="I23" s="1758">
        <v>1016</v>
      </c>
      <c r="J23" s="1759">
        <f>(626+140)*1.27</f>
        <v>972.82</v>
      </c>
      <c r="K23" s="1804">
        <f t="shared" si="0"/>
        <v>28225</v>
      </c>
      <c r="L23" s="1805">
        <f t="shared" si="0"/>
        <v>25525.73</v>
      </c>
      <c r="M23" s="1749">
        <v>15000</v>
      </c>
      <c r="N23" s="1750">
        <f>(1950+9829+167)*1.27</f>
        <v>15171.42</v>
      </c>
      <c r="O23" s="1746"/>
      <c r="P23" s="1745"/>
      <c r="Q23" s="1746">
        <v>7494</v>
      </c>
      <c r="R23" s="1751">
        <f>5901*1.27</f>
        <v>7494.27</v>
      </c>
      <c r="S23" s="768"/>
      <c r="T23" s="768"/>
    </row>
    <row r="24" spans="1:20" ht="15" customHeight="1">
      <c r="A24" s="1638" t="s">
        <v>164</v>
      </c>
      <c r="B24" s="1743" t="s">
        <v>598</v>
      </c>
      <c r="C24" s="1757">
        <v>10667</v>
      </c>
      <c r="D24" s="1757">
        <f>7740*1.27</f>
        <v>9829.8</v>
      </c>
      <c r="E24" s="1758">
        <v>3622</v>
      </c>
      <c r="F24" s="1758">
        <f>2498*1.27</f>
        <v>3172.46</v>
      </c>
      <c r="G24" s="1758">
        <v>889</v>
      </c>
      <c r="H24" s="1758">
        <f>765*1.27</f>
        <v>971.5500000000001</v>
      </c>
      <c r="I24" s="1758">
        <v>1143</v>
      </c>
      <c r="J24" s="1759">
        <f>(514+334)*1.27</f>
        <v>1076.96</v>
      </c>
      <c r="K24" s="1804">
        <f t="shared" si="0"/>
        <v>16321</v>
      </c>
      <c r="L24" s="1805">
        <f t="shared" si="0"/>
        <v>15050.769999999997</v>
      </c>
      <c r="M24" s="1749"/>
      <c r="N24" s="1750"/>
      <c r="O24" s="1746"/>
      <c r="P24" s="1745"/>
      <c r="Q24" s="1746"/>
      <c r="R24" s="1751"/>
      <c r="S24" s="768"/>
      <c r="T24" s="768"/>
    </row>
    <row r="25" spans="1:20" ht="15" customHeight="1">
      <c r="A25" s="1638" t="s">
        <v>165</v>
      </c>
      <c r="B25" s="1743" t="s">
        <v>599</v>
      </c>
      <c r="C25" s="1757">
        <v>24693</v>
      </c>
      <c r="D25" s="1757">
        <f>17640*1.27</f>
        <v>22402.8</v>
      </c>
      <c r="E25" s="1758">
        <v>6275</v>
      </c>
      <c r="F25" s="1758">
        <f>4885*1.27</f>
        <v>6203.95</v>
      </c>
      <c r="G25" s="1758">
        <v>2000</v>
      </c>
      <c r="H25" s="1758">
        <f>1263*1.27</f>
        <v>1604.01</v>
      </c>
      <c r="I25" s="1758">
        <v>2540</v>
      </c>
      <c r="J25" s="1759">
        <f>(1275+805)*1.27</f>
        <v>2641.6</v>
      </c>
      <c r="K25" s="1804">
        <f t="shared" si="0"/>
        <v>35508</v>
      </c>
      <c r="L25" s="1805">
        <f t="shared" si="0"/>
        <v>32852.36</v>
      </c>
      <c r="M25" s="1749"/>
      <c r="N25" s="1750"/>
      <c r="O25" s="1746"/>
      <c r="P25" s="1745"/>
      <c r="Q25" s="1746"/>
      <c r="R25" s="1751"/>
      <c r="S25" s="768"/>
      <c r="T25" s="768"/>
    </row>
    <row r="26" spans="1:20" ht="15" customHeight="1">
      <c r="A26" s="1638" t="s">
        <v>166</v>
      </c>
      <c r="B26" s="1743" t="s">
        <v>600</v>
      </c>
      <c r="C26" s="1757">
        <v>18943</v>
      </c>
      <c r="D26" s="1757">
        <f>13463*1.27</f>
        <v>17098.010000000002</v>
      </c>
      <c r="E26" s="1758">
        <v>5375</v>
      </c>
      <c r="F26" s="1758">
        <f>4414*1.27</f>
        <v>5605.78</v>
      </c>
      <c r="G26" s="1758">
        <v>1905</v>
      </c>
      <c r="H26" s="1758">
        <f>1630*1.27</f>
        <v>2070.1</v>
      </c>
      <c r="I26" s="1758">
        <v>1270</v>
      </c>
      <c r="J26" s="1759">
        <f>(568+385)*1.27</f>
        <v>1210.31</v>
      </c>
      <c r="K26" s="1804">
        <f t="shared" si="0"/>
        <v>27493</v>
      </c>
      <c r="L26" s="1805">
        <f t="shared" si="0"/>
        <v>25984.2</v>
      </c>
      <c r="M26" s="1749"/>
      <c r="N26" s="1750"/>
      <c r="O26" s="1746"/>
      <c r="P26" s="1745"/>
      <c r="Q26" s="1746"/>
      <c r="R26" s="1751"/>
      <c r="S26" s="768"/>
      <c r="T26" s="768"/>
    </row>
    <row r="27" spans="1:20" ht="15" customHeight="1">
      <c r="A27" s="1638" t="s">
        <v>446</v>
      </c>
      <c r="B27" s="1743" t="s">
        <v>601</v>
      </c>
      <c r="C27" s="1757">
        <v>10634</v>
      </c>
      <c r="D27" s="1757">
        <f>7593*1.27</f>
        <v>9643.11</v>
      </c>
      <c r="E27" s="1758">
        <v>4510</v>
      </c>
      <c r="F27" s="1758">
        <f>3398*1.27</f>
        <v>4315.46</v>
      </c>
      <c r="G27" s="1758">
        <v>1143</v>
      </c>
      <c r="H27" s="1758">
        <f>783*1.27</f>
        <v>994.41</v>
      </c>
      <c r="I27" s="1758">
        <v>699</v>
      </c>
      <c r="J27" s="1759">
        <f>(346+254)*1.27</f>
        <v>762</v>
      </c>
      <c r="K27" s="1804">
        <f t="shared" si="0"/>
        <v>16986</v>
      </c>
      <c r="L27" s="1805">
        <f t="shared" si="0"/>
        <v>15714.98</v>
      </c>
      <c r="M27" s="1749"/>
      <c r="N27" s="1750"/>
      <c r="O27" s="1746"/>
      <c r="P27" s="1745"/>
      <c r="Q27" s="1746"/>
      <c r="R27" s="1751"/>
      <c r="S27" s="768"/>
      <c r="T27" s="768"/>
    </row>
    <row r="28" spans="1:20" ht="12.75">
      <c r="A28" s="1735"/>
      <c r="B28" s="1762"/>
      <c r="C28" s="1757"/>
      <c r="D28" s="1757"/>
      <c r="E28" s="1758"/>
      <c r="F28" s="1758"/>
      <c r="G28" s="1758"/>
      <c r="H28" s="1758"/>
      <c r="I28" s="1758"/>
      <c r="J28" s="1759"/>
      <c r="K28" s="1760"/>
      <c r="L28" s="1759"/>
      <c r="M28" s="1761"/>
      <c r="N28" s="768"/>
      <c r="O28" s="1759"/>
      <c r="P28" s="1758"/>
      <c r="Q28" s="1759"/>
      <c r="R28" s="1751"/>
      <c r="S28" s="768"/>
      <c r="T28" s="768"/>
    </row>
    <row r="29" spans="1:21" ht="19.5" customHeight="1">
      <c r="A29" s="2088"/>
      <c r="B29" s="2117" t="s">
        <v>602</v>
      </c>
      <c r="C29" s="2097">
        <f aca="true" t="shared" si="1" ref="C29:R29">SUM(C14:C28)</f>
        <v>241490</v>
      </c>
      <c r="D29" s="2097">
        <f t="shared" si="1"/>
        <v>223755.25</v>
      </c>
      <c r="E29" s="2098">
        <f t="shared" si="1"/>
        <v>82828</v>
      </c>
      <c r="F29" s="2098">
        <f t="shared" si="1"/>
        <v>83284.06000000001</v>
      </c>
      <c r="G29" s="2098">
        <f t="shared" si="1"/>
        <v>26965</v>
      </c>
      <c r="H29" s="2098">
        <f t="shared" si="1"/>
        <v>24744.679999999993</v>
      </c>
      <c r="I29" s="2098">
        <f t="shared" si="1"/>
        <v>21909</v>
      </c>
      <c r="J29" s="2099">
        <f t="shared" si="1"/>
        <v>21551.9</v>
      </c>
      <c r="K29" s="2100">
        <f t="shared" si="1"/>
        <v>373192</v>
      </c>
      <c r="L29" s="2099">
        <f t="shared" si="1"/>
        <v>353335.88999999996</v>
      </c>
      <c r="M29" s="2102">
        <f t="shared" si="1"/>
        <v>54237</v>
      </c>
      <c r="N29" s="2103">
        <f t="shared" si="1"/>
        <v>51023.52</v>
      </c>
      <c r="O29" s="2099">
        <f t="shared" si="1"/>
        <v>0</v>
      </c>
      <c r="P29" s="2098">
        <f t="shared" si="1"/>
        <v>0</v>
      </c>
      <c r="Q29" s="2099">
        <f t="shared" si="1"/>
        <v>38330</v>
      </c>
      <c r="R29" s="2101">
        <f t="shared" si="1"/>
        <v>38329.869999999995</v>
      </c>
      <c r="S29" s="769"/>
      <c r="T29" s="769"/>
      <c r="U29" s="770"/>
    </row>
    <row r="30" spans="1:20" ht="12.75">
      <c r="A30" s="1752"/>
      <c r="B30" s="1763"/>
      <c r="C30" s="1757"/>
      <c r="D30" s="1757"/>
      <c r="E30" s="1758"/>
      <c r="F30" s="1758"/>
      <c r="G30" s="1758"/>
      <c r="H30" s="1758"/>
      <c r="I30" s="1758"/>
      <c r="J30" s="1759"/>
      <c r="K30" s="1760"/>
      <c r="L30" s="1759"/>
      <c r="M30" s="1761"/>
      <c r="N30" s="768"/>
      <c r="O30" s="1759"/>
      <c r="P30" s="1758"/>
      <c r="Q30" s="1759"/>
      <c r="R30" s="1751"/>
      <c r="S30" s="768"/>
      <c r="T30" s="768"/>
    </row>
    <row r="31" spans="1:20" ht="15" customHeight="1">
      <c r="A31" s="1638" t="s">
        <v>482</v>
      </c>
      <c r="B31" s="1743" t="s">
        <v>603</v>
      </c>
      <c r="C31" s="1757"/>
      <c r="D31" s="1757"/>
      <c r="E31" s="1758">
        <v>1778</v>
      </c>
      <c r="F31" s="1758">
        <f>1002*1.27</f>
        <v>1272.54</v>
      </c>
      <c r="G31" s="1758"/>
      <c r="H31" s="1758"/>
      <c r="I31" s="1758">
        <v>191</v>
      </c>
      <c r="J31" s="1759">
        <f>141*1.27</f>
        <v>179.07</v>
      </c>
      <c r="K31" s="1804">
        <f aca="true" t="shared" si="2" ref="K31:L33">C31+E31+G31+I31</f>
        <v>1969</v>
      </c>
      <c r="L31" s="1805">
        <f t="shared" si="2"/>
        <v>1451.61</v>
      </c>
      <c r="M31" s="1749"/>
      <c r="N31" s="1750"/>
      <c r="O31" s="1746"/>
      <c r="P31" s="1745"/>
      <c r="Q31" s="1746"/>
      <c r="R31" s="1751"/>
      <c r="S31" s="768"/>
      <c r="T31" s="768"/>
    </row>
    <row r="32" spans="1:20" ht="15" customHeight="1">
      <c r="A32" s="1638" t="s">
        <v>155</v>
      </c>
      <c r="B32" s="1743" t="s">
        <v>604</v>
      </c>
      <c r="C32" s="1757"/>
      <c r="D32" s="1757"/>
      <c r="E32" s="1758">
        <v>731</v>
      </c>
      <c r="F32" s="1758">
        <f>467*1.27</f>
        <v>593.09</v>
      </c>
      <c r="G32" s="1758"/>
      <c r="H32" s="1758"/>
      <c r="I32" s="1758">
        <v>165</v>
      </c>
      <c r="J32" s="1759">
        <f>141*1.27</f>
        <v>179.07</v>
      </c>
      <c r="K32" s="1804">
        <f t="shared" si="2"/>
        <v>896</v>
      </c>
      <c r="L32" s="1805">
        <f t="shared" si="2"/>
        <v>772.1600000000001</v>
      </c>
      <c r="M32" s="1749"/>
      <c r="N32" s="1750"/>
      <c r="O32" s="1746"/>
      <c r="P32" s="1745"/>
      <c r="Q32" s="1746"/>
      <c r="R32" s="1751"/>
      <c r="S32" s="768"/>
      <c r="T32" s="768"/>
    </row>
    <row r="33" spans="1:20" ht="15" customHeight="1">
      <c r="A33" s="1638" t="s">
        <v>156</v>
      </c>
      <c r="B33" s="1743" t="s">
        <v>605</v>
      </c>
      <c r="C33" s="1757">
        <v>83</v>
      </c>
      <c r="D33" s="1757">
        <f>76*1.27</f>
        <v>96.52</v>
      </c>
      <c r="E33" s="1758">
        <v>718</v>
      </c>
      <c r="F33" s="1758">
        <f>170*1.27</f>
        <v>215.9</v>
      </c>
      <c r="G33" s="1758">
        <v>100</v>
      </c>
      <c r="H33" s="1758">
        <f>56*1.27</f>
        <v>71.12</v>
      </c>
      <c r="I33" s="1758">
        <v>257</v>
      </c>
      <c r="J33" s="1759">
        <f>129*1.27</f>
        <v>163.83</v>
      </c>
      <c r="K33" s="1804">
        <f t="shared" si="2"/>
        <v>1158</v>
      </c>
      <c r="L33" s="1805">
        <f t="shared" si="2"/>
        <v>547.37</v>
      </c>
      <c r="M33" s="1749"/>
      <c r="N33" s="1750"/>
      <c r="O33" s="1746"/>
      <c r="P33" s="1745"/>
      <c r="Q33" s="1746"/>
      <c r="R33" s="1751"/>
      <c r="S33" s="768"/>
      <c r="T33" s="768"/>
    </row>
    <row r="34" spans="1:20" ht="12.75">
      <c r="A34" s="1735"/>
      <c r="B34" s="1762"/>
      <c r="C34" s="1757"/>
      <c r="D34" s="1757"/>
      <c r="E34" s="1758"/>
      <c r="F34" s="1758"/>
      <c r="G34" s="1758"/>
      <c r="H34" s="1758"/>
      <c r="I34" s="1758"/>
      <c r="J34" s="1759"/>
      <c r="K34" s="1760"/>
      <c r="L34" s="1759"/>
      <c r="M34" s="1761"/>
      <c r="N34" s="768"/>
      <c r="O34" s="1759"/>
      <c r="P34" s="1758"/>
      <c r="Q34" s="1759"/>
      <c r="R34" s="1751"/>
      <c r="S34" s="768"/>
      <c r="T34" s="768"/>
    </row>
    <row r="35" spans="1:20" ht="19.5" customHeight="1">
      <c r="A35" s="2088"/>
      <c r="B35" s="2117" t="s">
        <v>211</v>
      </c>
      <c r="C35" s="2097">
        <f aca="true" t="shared" si="3" ref="C35:R35">SUM(C31:C34)</f>
        <v>83</v>
      </c>
      <c r="D35" s="2097">
        <f>SUM(D31:D34)</f>
        <v>96.52</v>
      </c>
      <c r="E35" s="2098">
        <f t="shared" si="3"/>
        <v>3227</v>
      </c>
      <c r="F35" s="2098">
        <f>SUM(F31:F34)</f>
        <v>2081.53</v>
      </c>
      <c r="G35" s="2098">
        <f t="shared" si="3"/>
        <v>100</v>
      </c>
      <c r="H35" s="2098">
        <f>SUM(H31:H34)</f>
        <v>71.12</v>
      </c>
      <c r="I35" s="2098">
        <f t="shared" si="3"/>
        <v>613</v>
      </c>
      <c r="J35" s="2099">
        <f>SUM(J31:J34)</f>
        <v>521.97</v>
      </c>
      <c r="K35" s="2100">
        <f t="shared" si="3"/>
        <v>4023</v>
      </c>
      <c r="L35" s="2099">
        <f>SUM(L31:L34)</f>
        <v>2771.14</v>
      </c>
      <c r="M35" s="2102">
        <f t="shared" si="3"/>
        <v>0</v>
      </c>
      <c r="N35" s="2103">
        <f>SUM(N31:N34)</f>
        <v>0</v>
      </c>
      <c r="O35" s="2099">
        <f t="shared" si="3"/>
        <v>0</v>
      </c>
      <c r="P35" s="2098">
        <f>SUM(P31:P34)</f>
        <v>0</v>
      </c>
      <c r="Q35" s="2099">
        <f>SUM(Q31:Q34)</f>
        <v>0</v>
      </c>
      <c r="R35" s="2101">
        <f t="shared" si="3"/>
        <v>0</v>
      </c>
      <c r="S35" s="769"/>
      <c r="T35" s="769"/>
    </row>
    <row r="36" spans="1:20" ht="12.75">
      <c r="A36" s="1764"/>
      <c r="B36" s="1765"/>
      <c r="C36" s="1766"/>
      <c r="D36" s="1766"/>
      <c r="E36" s="1767"/>
      <c r="F36" s="1767"/>
      <c r="G36" s="1767"/>
      <c r="H36" s="1767"/>
      <c r="I36" s="1767"/>
      <c r="J36" s="1768"/>
      <c r="K36" s="1769"/>
      <c r="L36" s="1768"/>
      <c r="M36" s="1771"/>
      <c r="N36" s="769"/>
      <c r="O36" s="1768"/>
      <c r="P36" s="1767"/>
      <c r="Q36" s="1768"/>
      <c r="R36" s="1770"/>
      <c r="S36" s="769"/>
      <c r="T36" s="769"/>
    </row>
    <row r="37" spans="1:20" ht="13.5" thickBot="1">
      <c r="A37" s="1752"/>
      <c r="B37" s="1775"/>
      <c r="C37" s="1757"/>
      <c r="D37" s="1757"/>
      <c r="E37" s="1758"/>
      <c r="F37" s="1758"/>
      <c r="G37" s="1758"/>
      <c r="H37" s="1758"/>
      <c r="I37" s="1758"/>
      <c r="J37" s="1759"/>
      <c r="K37" s="1760"/>
      <c r="L37" s="1759"/>
      <c r="M37" s="1761"/>
      <c r="N37" s="768"/>
      <c r="O37" s="1759"/>
      <c r="P37" s="1758"/>
      <c r="Q37" s="1759"/>
      <c r="R37" s="1751"/>
      <c r="S37" s="768"/>
      <c r="T37" s="768"/>
    </row>
    <row r="38" spans="1:20" ht="19.5" customHeight="1" thickBot="1">
      <c r="A38" s="2105"/>
      <c r="B38" s="2106" t="s">
        <v>588</v>
      </c>
      <c r="C38" s="2118">
        <f>C29+C35</f>
        <v>241573</v>
      </c>
      <c r="D38" s="2118">
        <f>D29+D35</f>
        <v>223851.77</v>
      </c>
      <c r="E38" s="2118">
        <f>E29+E35</f>
        <v>86055</v>
      </c>
      <c r="F38" s="2118">
        <f>F29+F35</f>
        <v>85365.59000000001</v>
      </c>
      <c r="G38" s="2118">
        <f>G35+G29</f>
        <v>27065</v>
      </c>
      <c r="H38" s="2118">
        <f>H29+H35</f>
        <v>24815.799999999992</v>
      </c>
      <c r="I38" s="2118">
        <f>I35+I29</f>
        <v>22522</v>
      </c>
      <c r="J38" s="2119">
        <f aca="true" t="shared" si="4" ref="J38:R38">J29+J35</f>
        <v>22073.870000000003</v>
      </c>
      <c r="K38" s="2120">
        <f t="shared" si="4"/>
        <v>377215</v>
      </c>
      <c r="L38" s="2121">
        <f t="shared" si="4"/>
        <v>356107.02999999997</v>
      </c>
      <c r="M38" s="2122">
        <f t="shared" si="4"/>
        <v>54237</v>
      </c>
      <c r="N38" s="2119">
        <f t="shared" si="4"/>
        <v>51023.52</v>
      </c>
      <c r="O38" s="2121">
        <f t="shared" si="4"/>
        <v>0</v>
      </c>
      <c r="P38" s="2123">
        <f t="shared" si="4"/>
        <v>0</v>
      </c>
      <c r="Q38" s="2121">
        <f t="shared" si="4"/>
        <v>38330</v>
      </c>
      <c r="R38" s="2124">
        <f t="shared" si="4"/>
        <v>38329.869999999995</v>
      </c>
      <c r="S38" s="768"/>
      <c r="T38" s="768"/>
    </row>
    <row r="39" spans="3:18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1" ht="12.75">
      <c r="C41" s="8"/>
    </row>
  </sheetData>
  <sheetProtection/>
  <mergeCells count="13">
    <mergeCell ref="A4:R4"/>
    <mergeCell ref="B6:R6"/>
    <mergeCell ref="C8:R8"/>
    <mergeCell ref="C9:J9"/>
    <mergeCell ref="M9:R9"/>
    <mergeCell ref="C10:D10"/>
    <mergeCell ref="E10:F10"/>
    <mergeCell ref="G10:H10"/>
    <mergeCell ref="I10:J10"/>
    <mergeCell ref="K10:L10"/>
    <mergeCell ref="M10:N10"/>
    <mergeCell ref="O10:P10"/>
    <mergeCell ref="Q10:R10"/>
  </mergeCells>
  <printOptions horizontalCentered="1" verticalCentered="1"/>
  <pageMargins left="0" right="0" top="0.6692913385826772" bottom="0.5905511811023623" header="0.3937007874015748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3"/>
  <sheetViews>
    <sheetView zoomScale="80" zoomScaleNormal="80" zoomScalePageLayoutView="0" workbookViewId="0" topLeftCell="A1">
      <selection activeCell="F3" sqref="F3"/>
    </sheetView>
  </sheetViews>
  <sheetFormatPr defaultColWidth="9.00390625" defaultRowHeight="12.75"/>
  <cols>
    <col min="1" max="1" width="9.125" style="7" customWidth="1"/>
    <col min="2" max="2" width="50.75390625" style="7" customWidth="1"/>
    <col min="3" max="5" width="14.75390625" style="7" customWidth="1"/>
    <col min="6" max="6" width="11.875" style="7" customWidth="1"/>
    <col min="7" max="16384" width="9.125" style="7" customWidth="1"/>
  </cols>
  <sheetData>
    <row r="2" spans="1:6" ht="12.75">
      <c r="A2" s="19"/>
      <c r="B2" s="14"/>
      <c r="C2" s="49"/>
      <c r="D2" s="99"/>
      <c r="E2" s="14"/>
      <c r="F2" s="543" t="s">
        <v>1265</v>
      </c>
    </row>
    <row r="3" spans="1:6" ht="12.75">
      <c r="A3" s="14"/>
      <c r="B3" s="14"/>
      <c r="C3" s="49"/>
      <c r="D3" s="165"/>
      <c r="E3" s="14"/>
      <c r="F3" s="544" t="s">
        <v>71</v>
      </c>
    </row>
    <row r="4" spans="1:8" ht="30.75" customHeight="1" hidden="1">
      <c r="A4" s="14"/>
      <c r="B4" s="14"/>
      <c r="C4" s="49"/>
      <c r="D4" s="49"/>
      <c r="E4" s="14"/>
      <c r="F4" s="690" t="s">
        <v>1016</v>
      </c>
      <c r="G4" s="2296"/>
      <c r="H4" s="2296"/>
    </row>
    <row r="5" spans="1:8" ht="26.25" customHeight="1">
      <c r="A5" s="2294" t="s">
        <v>289</v>
      </c>
      <c r="B5" s="2294"/>
      <c r="C5" s="2294"/>
      <c r="D5" s="2294"/>
      <c r="E5" s="2294"/>
      <c r="F5" s="2294"/>
      <c r="G5" s="2296"/>
      <c r="H5" s="2296"/>
    </row>
    <row r="6" spans="1:8" ht="15.75">
      <c r="A6" s="2294" t="s">
        <v>763</v>
      </c>
      <c r="B6" s="2294"/>
      <c r="C6" s="2294"/>
      <c r="D6" s="2294"/>
      <c r="E6" s="2294"/>
      <c r="F6" s="2294"/>
      <c r="G6" s="2296"/>
      <c r="H6" s="2296"/>
    </row>
    <row r="7" spans="1:8" ht="15.75">
      <c r="A7" s="2295" t="s">
        <v>72</v>
      </c>
      <c r="B7" s="2295"/>
      <c r="C7" s="2295"/>
      <c r="D7" s="2295"/>
      <c r="E7" s="2295"/>
      <c r="F7" s="2295"/>
      <c r="G7" s="2297"/>
      <c r="H7" s="2297"/>
    </row>
    <row r="8" spans="1:5" ht="21" customHeight="1" thickBot="1">
      <c r="A8" s="15"/>
      <c r="B8" s="15" t="s">
        <v>878</v>
      </c>
      <c r="C8" s="14"/>
      <c r="D8" s="14"/>
      <c r="E8" s="14"/>
    </row>
    <row r="9" spans="1:6" ht="12.75">
      <c r="A9" s="374"/>
      <c r="B9" s="10"/>
      <c r="C9" s="1139" t="s">
        <v>802</v>
      </c>
      <c r="D9" s="1140" t="s">
        <v>802</v>
      </c>
      <c r="E9" s="688"/>
      <c r="F9" s="166"/>
    </row>
    <row r="10" spans="1:6" ht="12.75">
      <c r="A10" s="373" t="s">
        <v>1050</v>
      </c>
      <c r="B10" s="23" t="s">
        <v>41</v>
      </c>
      <c r="C10" s="23" t="s">
        <v>50</v>
      </c>
      <c r="D10" s="1141" t="s">
        <v>490</v>
      </c>
      <c r="E10" s="689" t="s">
        <v>302</v>
      </c>
      <c r="F10" s="169" t="s">
        <v>302</v>
      </c>
    </row>
    <row r="11" spans="1:6" ht="13.5" thickBot="1">
      <c r="A11" s="375"/>
      <c r="B11" s="12"/>
      <c r="C11" s="24" t="s">
        <v>4</v>
      </c>
      <c r="D11" s="683" t="s">
        <v>4</v>
      </c>
      <c r="E11" s="683"/>
      <c r="F11" s="24" t="s">
        <v>304</v>
      </c>
    </row>
    <row r="12" spans="1:6" ht="12.75">
      <c r="A12" s="480">
        <v>1</v>
      </c>
      <c r="B12" s="995">
        <v>2</v>
      </c>
      <c r="C12" s="1130">
        <v>3</v>
      </c>
      <c r="D12" s="1998">
        <v>4</v>
      </c>
      <c r="E12" s="2000">
        <v>5</v>
      </c>
      <c r="F12" s="997">
        <v>6</v>
      </c>
    </row>
    <row r="13" spans="1:6" ht="8.25" customHeight="1">
      <c r="A13" s="26"/>
      <c r="B13" s="27"/>
      <c r="C13" s="92"/>
      <c r="D13" s="168"/>
      <c r="E13" s="411"/>
      <c r="F13" s="181"/>
    </row>
    <row r="14" spans="1:6" ht="13.5">
      <c r="A14" s="171" t="s">
        <v>174</v>
      </c>
      <c r="B14" s="172" t="s">
        <v>185</v>
      </c>
      <c r="C14" s="412">
        <f>SUM(C16:C25)</f>
        <v>25000</v>
      </c>
      <c r="D14" s="412">
        <f>SUM(D16:D27)</f>
        <v>374089</v>
      </c>
      <c r="E14" s="412">
        <f>SUM(E16:E27)</f>
        <v>384199</v>
      </c>
      <c r="F14" s="402">
        <f>E14/D14*100</f>
        <v>102.70256543229017</v>
      </c>
    </row>
    <row r="15" spans="1:6" ht="12.75" customHeight="1">
      <c r="A15" s="28"/>
      <c r="B15" s="63"/>
      <c r="C15" s="173"/>
      <c r="D15" s="173"/>
      <c r="E15" s="174"/>
      <c r="F15" s="403"/>
    </row>
    <row r="16" spans="1:6" ht="12.75" customHeight="1">
      <c r="A16" s="612" t="s">
        <v>8</v>
      </c>
      <c r="B16" s="613" t="s">
        <v>641</v>
      </c>
      <c r="C16" s="614"/>
      <c r="D16" s="615"/>
      <c r="E16" s="174"/>
      <c r="F16" s="403"/>
    </row>
    <row r="17" spans="1:6" ht="12.75" customHeight="1">
      <c r="A17" s="784">
        <v>1</v>
      </c>
      <c r="B17" s="341" t="s">
        <v>116</v>
      </c>
      <c r="C17" s="614">
        <v>13000</v>
      </c>
      <c r="D17" s="614">
        <v>13060</v>
      </c>
      <c r="E17" s="361">
        <v>12139</v>
      </c>
      <c r="F17" s="404">
        <f>E17/D17*100</f>
        <v>92.947932618683</v>
      </c>
    </row>
    <row r="18" spans="1:6" ht="12.75" customHeight="1">
      <c r="A18" s="784">
        <v>2</v>
      </c>
      <c r="B18" s="341" t="s">
        <v>1024</v>
      </c>
      <c r="C18" s="614"/>
      <c r="D18" s="614">
        <v>8700</v>
      </c>
      <c r="E18" s="361">
        <v>8700</v>
      </c>
      <c r="F18" s="404">
        <f>E18/D18*100</f>
        <v>100</v>
      </c>
    </row>
    <row r="19" spans="1:6" ht="12.75" customHeight="1">
      <c r="A19" s="784">
        <v>3</v>
      </c>
      <c r="B19" s="341" t="s">
        <v>1180</v>
      </c>
      <c r="C19" s="614"/>
      <c r="D19" s="614">
        <v>2000</v>
      </c>
      <c r="E19" s="361">
        <v>2000</v>
      </c>
      <c r="F19" s="404">
        <f>E19/D19*100</f>
        <v>100</v>
      </c>
    </row>
    <row r="20" spans="1:6" ht="12.75" customHeight="1">
      <c r="A20" s="784">
        <v>4</v>
      </c>
      <c r="B20" s="341" t="s">
        <v>1179</v>
      </c>
      <c r="C20" s="614"/>
      <c r="D20" s="614"/>
      <c r="E20" s="361">
        <v>10828</v>
      </c>
      <c r="F20" s="404"/>
    </row>
    <row r="21" spans="1:6" ht="12.75" customHeight="1">
      <c r="A21" s="28"/>
      <c r="B21" s="63"/>
      <c r="C21" s="614"/>
      <c r="D21" s="614"/>
      <c r="E21" s="65"/>
      <c r="F21" s="404"/>
    </row>
    <row r="22" spans="1:6" ht="15.75" customHeight="1">
      <c r="A22" s="612" t="s">
        <v>10</v>
      </c>
      <c r="B22" s="613" t="s">
        <v>642</v>
      </c>
      <c r="C22" s="614"/>
      <c r="D22" s="614"/>
      <c r="E22" s="65"/>
      <c r="F22" s="404"/>
    </row>
    <row r="23" spans="1:6" ht="12.75" customHeight="1">
      <c r="A23" s="338">
        <v>1</v>
      </c>
      <c r="B23" s="342" t="s">
        <v>757</v>
      </c>
      <c r="C23" s="614">
        <v>12000</v>
      </c>
      <c r="D23" s="614">
        <v>12900</v>
      </c>
      <c r="E23" s="65">
        <v>12900</v>
      </c>
      <c r="F23" s="404">
        <f>E23/D23*100</f>
        <v>100</v>
      </c>
    </row>
    <row r="24" spans="1:6" ht="12.75" customHeight="1">
      <c r="A24" s="338">
        <v>2</v>
      </c>
      <c r="B24" s="342" t="s">
        <v>758</v>
      </c>
      <c r="C24" s="614"/>
      <c r="D24" s="614">
        <v>327091</v>
      </c>
      <c r="E24" s="65">
        <v>327294</v>
      </c>
      <c r="F24" s="404">
        <f>E24/D24*100</f>
        <v>100.06206223956025</v>
      </c>
    </row>
    <row r="25" spans="1:6" ht="12.75" customHeight="1">
      <c r="A25" s="338">
        <v>3</v>
      </c>
      <c r="B25" s="342" t="s">
        <v>1025</v>
      </c>
      <c r="C25" s="614"/>
      <c r="D25" s="614">
        <v>200</v>
      </c>
      <c r="E25" s="65">
        <v>200</v>
      </c>
      <c r="F25" s="404">
        <f>E25/D25*100</f>
        <v>100</v>
      </c>
    </row>
    <row r="26" spans="1:6" ht="12.75" customHeight="1">
      <c r="A26" s="338">
        <v>4</v>
      </c>
      <c r="B26" s="342" t="s">
        <v>1026</v>
      </c>
      <c r="C26" s="614"/>
      <c r="D26" s="614">
        <v>9138</v>
      </c>
      <c r="E26" s="65">
        <v>9138</v>
      </c>
      <c r="F26" s="404">
        <f>E26/D26*100</f>
        <v>100</v>
      </c>
    </row>
    <row r="27" spans="1:6" ht="12.75" customHeight="1">
      <c r="A27" s="338">
        <v>5</v>
      </c>
      <c r="B27" s="342" t="s">
        <v>1027</v>
      </c>
      <c r="C27" s="614"/>
      <c r="D27" s="614">
        <v>1000</v>
      </c>
      <c r="E27" s="65">
        <v>1000</v>
      </c>
      <c r="F27" s="404">
        <f>E27/D27*100</f>
        <v>100</v>
      </c>
    </row>
    <row r="28" spans="1:6" ht="14.25" customHeight="1">
      <c r="A28" s="26"/>
      <c r="B28" s="34"/>
      <c r="C28" s="77"/>
      <c r="D28" s="77"/>
      <c r="E28" s="65"/>
      <c r="F28" s="404"/>
    </row>
    <row r="29" spans="1:6" ht="13.5">
      <c r="A29" s="171" t="s">
        <v>457</v>
      </c>
      <c r="B29" s="172" t="s">
        <v>118</v>
      </c>
      <c r="C29" s="412">
        <f>SUM(C33:C65)</f>
        <v>436694</v>
      </c>
      <c r="D29" s="412">
        <f>SUM(D33:D65)</f>
        <v>456407</v>
      </c>
      <c r="E29" s="412">
        <f>SUM(E33:E65)</f>
        <v>429289</v>
      </c>
      <c r="F29" s="405">
        <f aca="true" t="shared" si="0" ref="F29:F67">E29/D29*100</f>
        <v>94.05837333783225</v>
      </c>
    </row>
    <row r="30" spans="1:6" ht="13.5">
      <c r="A30" s="28"/>
      <c r="B30" s="63"/>
      <c r="C30" s="174"/>
      <c r="D30" s="173"/>
      <c r="E30" s="413"/>
      <c r="F30" s="406"/>
    </row>
    <row r="31" spans="1:6" ht="12.75">
      <c r="A31" s="26" t="s">
        <v>8</v>
      </c>
      <c r="B31" s="64" t="s">
        <v>485</v>
      </c>
      <c r="C31" s="176"/>
      <c r="D31" s="175"/>
      <c r="E31" s="176"/>
      <c r="F31" s="407"/>
    </row>
    <row r="32" spans="1:6" ht="12.75">
      <c r="A32" s="26"/>
      <c r="B32" s="30" t="s">
        <v>9</v>
      </c>
      <c r="C32" s="65"/>
      <c r="D32" s="77"/>
      <c r="E32" s="65"/>
      <c r="F32" s="404"/>
    </row>
    <row r="33" spans="1:6" ht="12.75">
      <c r="A33" s="338">
        <v>1</v>
      </c>
      <c r="B33" s="340" t="s">
        <v>1112</v>
      </c>
      <c r="C33" s="65">
        <v>8000</v>
      </c>
      <c r="D33" s="77">
        <v>1262</v>
      </c>
      <c r="E33" s="65">
        <v>1120</v>
      </c>
      <c r="F33" s="404">
        <f t="shared" si="0"/>
        <v>88.74801901743264</v>
      </c>
    </row>
    <row r="34" spans="1:6" ht="12.75">
      <c r="A34" s="338">
        <v>2</v>
      </c>
      <c r="B34" s="340" t="s">
        <v>1113</v>
      </c>
      <c r="C34" s="65">
        <v>4000</v>
      </c>
      <c r="D34" s="77">
        <v>2559</v>
      </c>
      <c r="E34" s="65">
        <v>2350</v>
      </c>
      <c r="F34" s="404">
        <f t="shared" si="0"/>
        <v>91.83274716686206</v>
      </c>
    </row>
    <row r="35" spans="1:6" ht="12.75">
      <c r="A35" s="339">
        <v>3</v>
      </c>
      <c r="B35" s="340" t="s">
        <v>1114</v>
      </c>
      <c r="C35" s="65">
        <v>7000</v>
      </c>
      <c r="D35" s="77">
        <v>2000</v>
      </c>
      <c r="E35" s="65">
        <v>1960</v>
      </c>
      <c r="F35" s="404">
        <f t="shared" si="0"/>
        <v>98</v>
      </c>
    </row>
    <row r="36" spans="1:6" ht="12.75">
      <c r="A36" s="339">
        <v>4</v>
      </c>
      <c r="B36" s="340" t="s">
        <v>528</v>
      </c>
      <c r="C36" s="65">
        <v>2000</v>
      </c>
      <c r="D36" s="77">
        <v>0</v>
      </c>
      <c r="E36" s="65">
        <v>0</v>
      </c>
      <c r="F36" s="404">
        <v>0</v>
      </c>
    </row>
    <row r="37" spans="1:6" ht="12.75">
      <c r="A37" s="339">
        <v>5</v>
      </c>
      <c r="B37" s="340" t="s">
        <v>1115</v>
      </c>
      <c r="C37" s="65">
        <v>5000</v>
      </c>
      <c r="D37" s="77">
        <v>3660</v>
      </c>
      <c r="E37" s="65">
        <v>3660</v>
      </c>
      <c r="F37" s="404">
        <f t="shared" si="0"/>
        <v>100</v>
      </c>
    </row>
    <row r="38" spans="1:6" ht="12.75">
      <c r="A38" s="339">
        <v>6</v>
      </c>
      <c r="B38" s="340" t="s">
        <v>1116</v>
      </c>
      <c r="C38" s="65">
        <v>6000</v>
      </c>
      <c r="D38" s="77">
        <v>6000</v>
      </c>
      <c r="E38" s="65">
        <v>0</v>
      </c>
      <c r="F38" s="404">
        <f t="shared" si="0"/>
        <v>0</v>
      </c>
    </row>
    <row r="39" spans="1:6" ht="12.75">
      <c r="A39" s="339">
        <v>7</v>
      </c>
      <c r="B39" s="340" t="s">
        <v>486</v>
      </c>
      <c r="C39" s="65">
        <v>1462</v>
      </c>
      <c r="D39" s="77">
        <v>1462</v>
      </c>
      <c r="E39" s="65">
        <v>0</v>
      </c>
      <c r="F39" s="404">
        <f t="shared" si="0"/>
        <v>0</v>
      </c>
    </row>
    <row r="40" spans="1:6" ht="12.75">
      <c r="A40" s="339">
        <v>8</v>
      </c>
      <c r="B40" s="341" t="s">
        <v>20</v>
      </c>
      <c r="C40" s="65">
        <v>1500</v>
      </c>
      <c r="D40" s="77">
        <v>1500</v>
      </c>
      <c r="E40" s="65">
        <v>1500</v>
      </c>
      <c r="F40" s="404">
        <f t="shared" si="0"/>
        <v>100</v>
      </c>
    </row>
    <row r="41" spans="1:6" ht="12.75">
      <c r="A41" s="339">
        <v>9</v>
      </c>
      <c r="B41" s="341" t="s">
        <v>228</v>
      </c>
      <c r="C41" s="66">
        <v>8000</v>
      </c>
      <c r="D41" s="61">
        <v>8500</v>
      </c>
      <c r="E41" s="66">
        <v>8300</v>
      </c>
      <c r="F41" s="409">
        <f t="shared" si="0"/>
        <v>97.6470588235294</v>
      </c>
    </row>
    <row r="42" spans="1:6" ht="12.75">
      <c r="A42" s="339">
        <v>10</v>
      </c>
      <c r="B42" s="340" t="s">
        <v>186</v>
      </c>
      <c r="C42" s="67">
        <v>6000</v>
      </c>
      <c r="D42" s="89">
        <v>6000</v>
      </c>
      <c r="E42" s="67">
        <v>6000</v>
      </c>
      <c r="F42" s="409">
        <f t="shared" si="0"/>
        <v>100</v>
      </c>
    </row>
    <row r="43" spans="1:6" ht="12.75">
      <c r="A43" s="339">
        <v>11</v>
      </c>
      <c r="B43" s="340" t="s">
        <v>487</v>
      </c>
      <c r="C43" s="65">
        <v>2200</v>
      </c>
      <c r="D43" s="77">
        <v>2200</v>
      </c>
      <c r="E43" s="65">
        <v>2200</v>
      </c>
      <c r="F43" s="404">
        <f t="shared" si="0"/>
        <v>100</v>
      </c>
    </row>
    <row r="44" spans="1:6" ht="12.75">
      <c r="A44" s="339">
        <v>12</v>
      </c>
      <c r="B44" s="340" t="s">
        <v>488</v>
      </c>
      <c r="C44" s="65">
        <v>1800</v>
      </c>
      <c r="D44" s="77">
        <v>1800</v>
      </c>
      <c r="E44" s="65">
        <v>1330</v>
      </c>
      <c r="F44" s="404">
        <f t="shared" si="0"/>
        <v>73.88888888888889</v>
      </c>
    </row>
    <row r="45" spans="1:6" ht="12.75">
      <c r="A45" s="339">
        <v>13</v>
      </c>
      <c r="B45" s="340" t="s">
        <v>643</v>
      </c>
      <c r="C45" s="65">
        <v>4500</v>
      </c>
      <c r="D45" s="77">
        <v>4170</v>
      </c>
      <c r="E45" s="65">
        <v>4020</v>
      </c>
      <c r="F45" s="404">
        <f t="shared" si="0"/>
        <v>96.40287769784173</v>
      </c>
    </row>
    <row r="46" spans="1:6" ht="12.75">
      <c r="A46" s="339">
        <v>14</v>
      </c>
      <c r="B46" s="343" t="s">
        <v>40</v>
      </c>
      <c r="C46" s="65">
        <v>5000</v>
      </c>
      <c r="D46" s="77">
        <v>5000</v>
      </c>
      <c r="E46" s="65">
        <v>3000</v>
      </c>
      <c r="F46" s="404">
        <f t="shared" si="0"/>
        <v>60</v>
      </c>
    </row>
    <row r="47" spans="1:6" ht="12.75">
      <c r="A47" s="339">
        <v>15</v>
      </c>
      <c r="B47" s="340" t="s">
        <v>644</v>
      </c>
      <c r="C47" s="65">
        <v>4500</v>
      </c>
      <c r="D47" s="77">
        <v>4500</v>
      </c>
      <c r="E47" s="65">
        <v>4500</v>
      </c>
      <c r="F47" s="404">
        <f t="shared" si="0"/>
        <v>100</v>
      </c>
    </row>
    <row r="48" spans="1:6" ht="12.75">
      <c r="A48" s="339">
        <v>16</v>
      </c>
      <c r="B48" s="340" t="s">
        <v>275</v>
      </c>
      <c r="C48" s="68">
        <v>1000</v>
      </c>
      <c r="D48" s="97">
        <v>1000</v>
      </c>
      <c r="E48" s="68">
        <v>50</v>
      </c>
      <c r="F48" s="410">
        <f t="shared" si="0"/>
        <v>5</v>
      </c>
    </row>
    <row r="49" spans="1:6" ht="12.75">
      <c r="A49" s="339">
        <v>17</v>
      </c>
      <c r="B49" s="341" t="s">
        <v>645</v>
      </c>
      <c r="C49" s="65">
        <v>33000</v>
      </c>
      <c r="D49" s="77">
        <v>42893</v>
      </c>
      <c r="E49" s="65">
        <v>31008</v>
      </c>
      <c r="F49" s="410">
        <f t="shared" si="0"/>
        <v>72.29151609819783</v>
      </c>
    </row>
    <row r="50" spans="1:6" ht="12.75">
      <c r="A50" s="339">
        <v>18</v>
      </c>
      <c r="B50" s="341" t="s">
        <v>117</v>
      </c>
      <c r="C50" s="85">
        <v>2000</v>
      </c>
      <c r="D50" s="98">
        <v>800</v>
      </c>
      <c r="E50" s="66">
        <v>320</v>
      </c>
      <c r="F50" s="408">
        <f t="shared" si="0"/>
        <v>40</v>
      </c>
    </row>
    <row r="51" spans="1:6" ht="12.75">
      <c r="A51" s="338">
        <v>19</v>
      </c>
      <c r="B51" s="341" t="s">
        <v>19</v>
      </c>
      <c r="C51" s="67">
        <v>3881</v>
      </c>
      <c r="D51" s="89">
        <v>3881</v>
      </c>
      <c r="E51" s="67">
        <v>3881</v>
      </c>
      <c r="F51" s="409">
        <f t="shared" si="0"/>
        <v>100</v>
      </c>
    </row>
    <row r="52" spans="1:6" ht="12.75">
      <c r="A52" s="338">
        <v>20</v>
      </c>
      <c r="B52" s="341" t="s">
        <v>646</v>
      </c>
      <c r="C52" s="65">
        <v>0</v>
      </c>
      <c r="D52" s="77">
        <v>0</v>
      </c>
      <c r="E52" s="65">
        <v>0</v>
      </c>
      <c r="F52" s="409">
        <v>0</v>
      </c>
    </row>
    <row r="53" spans="1:6" ht="12.75">
      <c r="A53" s="338">
        <v>21</v>
      </c>
      <c r="B53" s="341" t="s">
        <v>946</v>
      </c>
      <c r="C53" s="178">
        <v>0</v>
      </c>
      <c r="D53" s="177">
        <v>700</v>
      </c>
      <c r="E53" s="65">
        <v>400</v>
      </c>
      <c r="F53" s="409">
        <f t="shared" si="0"/>
        <v>57.14285714285714</v>
      </c>
    </row>
    <row r="54" spans="1:6" ht="12.75">
      <c r="A54" s="338">
        <v>22</v>
      </c>
      <c r="B54" s="341" t="s">
        <v>229</v>
      </c>
      <c r="C54" s="178">
        <v>0</v>
      </c>
      <c r="D54" s="177">
        <v>3100</v>
      </c>
      <c r="E54" s="65">
        <v>900</v>
      </c>
      <c r="F54" s="409">
        <f t="shared" si="0"/>
        <v>29.03225806451613</v>
      </c>
    </row>
    <row r="55" spans="1:6" ht="12.75">
      <c r="A55" s="338">
        <v>23</v>
      </c>
      <c r="B55" s="341" t="s">
        <v>230</v>
      </c>
      <c r="C55" s="65">
        <v>0</v>
      </c>
      <c r="D55" s="77">
        <v>2480</v>
      </c>
      <c r="E55" s="65">
        <v>1930</v>
      </c>
      <c r="F55" s="409">
        <f t="shared" si="0"/>
        <v>77.82258064516128</v>
      </c>
    </row>
    <row r="56" spans="1:6" ht="13.5" customHeight="1">
      <c r="A56" s="26"/>
      <c r="B56" s="59"/>
      <c r="C56" s="65"/>
      <c r="D56" s="77"/>
      <c r="E56" s="65"/>
      <c r="F56" s="404"/>
    </row>
    <row r="57" spans="1:6" ht="12.75">
      <c r="A57" s="29" t="s">
        <v>10</v>
      </c>
      <c r="B57" s="64" t="s">
        <v>132</v>
      </c>
      <c r="C57" s="65"/>
      <c r="D57" s="77"/>
      <c r="E57" s="65"/>
      <c r="F57" s="404"/>
    </row>
    <row r="58" spans="1:6" ht="12.75">
      <c r="A58" s="26">
        <v>1</v>
      </c>
      <c r="B58" s="2" t="s">
        <v>1181</v>
      </c>
      <c r="C58" s="65"/>
      <c r="D58" s="77">
        <v>50</v>
      </c>
      <c r="E58" s="65">
        <v>50</v>
      </c>
      <c r="F58" s="409">
        <f t="shared" si="0"/>
        <v>100</v>
      </c>
    </row>
    <row r="59" spans="1:6" ht="12.75">
      <c r="A59" s="26"/>
      <c r="B59" s="2"/>
      <c r="C59" s="65"/>
      <c r="D59" s="77"/>
      <c r="E59" s="65"/>
      <c r="F59" s="404"/>
    </row>
    <row r="60" spans="1:6" ht="12.75">
      <c r="A60" s="29" t="s">
        <v>21</v>
      </c>
      <c r="B60" s="64" t="s">
        <v>338</v>
      </c>
      <c r="C60" s="65"/>
      <c r="D60" s="77"/>
      <c r="E60" s="65"/>
      <c r="F60" s="404"/>
    </row>
    <row r="61" spans="1:6" ht="12.75">
      <c r="A61" s="344">
        <v>1</v>
      </c>
      <c r="B61" s="341" t="s">
        <v>402</v>
      </c>
      <c r="C61" s="65">
        <v>329851</v>
      </c>
      <c r="D61" s="77">
        <v>350300</v>
      </c>
      <c r="E61" s="65">
        <v>350300</v>
      </c>
      <c r="F61" s="404">
        <f t="shared" si="0"/>
        <v>100</v>
      </c>
    </row>
    <row r="62" spans="1:6" ht="12.75">
      <c r="A62" s="344">
        <v>2</v>
      </c>
      <c r="B62" s="341" t="s">
        <v>1182</v>
      </c>
      <c r="C62" s="65"/>
      <c r="D62" s="77">
        <v>200</v>
      </c>
      <c r="E62" s="65">
        <v>200</v>
      </c>
      <c r="F62" s="404">
        <f t="shared" si="0"/>
        <v>100</v>
      </c>
    </row>
    <row r="63" spans="1:6" ht="12.75">
      <c r="A63" s="344">
        <v>3</v>
      </c>
      <c r="B63" s="341" t="s">
        <v>1183</v>
      </c>
      <c r="C63" s="65"/>
      <c r="D63" s="77">
        <v>140</v>
      </c>
      <c r="E63" s="65">
        <v>60</v>
      </c>
      <c r="F63" s="404">
        <f t="shared" si="0"/>
        <v>42.857142857142854</v>
      </c>
    </row>
    <row r="64" spans="1:6" ht="12.75">
      <c r="A64" s="344">
        <v>4</v>
      </c>
      <c r="B64" s="341" t="s">
        <v>1184</v>
      </c>
      <c r="C64" s="65"/>
      <c r="D64" s="77">
        <v>250</v>
      </c>
      <c r="E64" s="65">
        <v>250</v>
      </c>
      <c r="F64" s="404">
        <f t="shared" si="0"/>
        <v>100</v>
      </c>
    </row>
    <row r="65" spans="1:6" ht="12.75">
      <c r="A65" s="344"/>
      <c r="B65" s="341"/>
      <c r="C65" s="65"/>
      <c r="D65" s="77"/>
      <c r="E65" s="65"/>
      <c r="F65" s="404"/>
    </row>
    <row r="66" spans="1:6" ht="14.25" customHeight="1" thickBot="1">
      <c r="A66" s="29"/>
      <c r="B66" s="59"/>
      <c r="C66" s="65"/>
      <c r="D66" s="77"/>
      <c r="E66" s="65"/>
      <c r="F66" s="404"/>
    </row>
    <row r="67" spans="1:6" ht="15" thickBot="1">
      <c r="A67" s="179"/>
      <c r="B67" s="180" t="s">
        <v>48</v>
      </c>
      <c r="C67" s="345">
        <f>C14+C29</f>
        <v>461694</v>
      </c>
      <c r="D67" s="345">
        <f>D14+D29</f>
        <v>830496</v>
      </c>
      <c r="E67" s="414">
        <f>E14+E29</f>
        <v>813488</v>
      </c>
      <c r="F67" s="616">
        <f t="shared" si="0"/>
        <v>97.9520671983971</v>
      </c>
    </row>
    <row r="68" ht="21" customHeight="1">
      <c r="B68" s="557" t="s">
        <v>762</v>
      </c>
    </row>
    <row r="69" ht="12.75">
      <c r="B69" s="4"/>
    </row>
    <row r="70" spans="2:5" ht="12.75">
      <c r="B70" s="159"/>
      <c r="C70" s="9"/>
      <c r="D70" s="9"/>
      <c r="E70" s="9"/>
    </row>
    <row r="71" spans="2:5" ht="12.75">
      <c r="B71" s="159"/>
      <c r="C71" s="9"/>
      <c r="D71" s="9"/>
      <c r="E71" s="9"/>
    </row>
    <row r="72" spans="2:5" ht="12.75">
      <c r="B72" s="159"/>
      <c r="C72" s="9"/>
      <c r="D72" s="9"/>
      <c r="E72" s="9"/>
    </row>
    <row r="73" spans="2:5" ht="12.75">
      <c r="B73" s="159"/>
      <c r="C73" s="9"/>
      <c r="D73" s="9"/>
      <c r="E73" s="9"/>
    </row>
  </sheetData>
  <sheetProtection/>
  <mergeCells count="7">
    <mergeCell ref="A5:F5"/>
    <mergeCell ref="A6:F6"/>
    <mergeCell ref="A7:F7"/>
    <mergeCell ref="G4:H4"/>
    <mergeCell ref="G5:H5"/>
    <mergeCell ref="G6:H6"/>
    <mergeCell ref="G7:H7"/>
  </mergeCells>
  <printOptions horizontalCentered="1" verticalCentered="1"/>
  <pageMargins left="0" right="0" top="0.5511811023622047" bottom="0.5118110236220472" header="0.35433070866141736" footer="0.31496062992125984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9"/>
  <sheetViews>
    <sheetView zoomScale="80" zoomScaleNormal="80" zoomScalePageLayoutView="0" workbookViewId="0" topLeftCell="B1">
      <selection activeCell="F3" sqref="F3"/>
    </sheetView>
  </sheetViews>
  <sheetFormatPr defaultColWidth="9.00390625" defaultRowHeight="12.75"/>
  <cols>
    <col min="1" max="1" width="10.75390625" style="14" customWidth="1"/>
    <col min="2" max="2" width="74.75390625" style="14" customWidth="1"/>
    <col min="3" max="6" width="16.25390625" style="14" customWidth="1"/>
    <col min="7" max="16384" width="9.125" style="14" customWidth="1"/>
  </cols>
  <sheetData>
    <row r="2" ht="12.75">
      <c r="F2" s="543" t="s">
        <v>1266</v>
      </c>
    </row>
    <row r="3" spans="1:6" ht="12.75">
      <c r="A3" s="19"/>
      <c r="C3" s="49"/>
      <c r="D3" s="99"/>
      <c r="F3" s="544" t="s">
        <v>71</v>
      </c>
    </row>
    <row r="4" spans="3:6" ht="33" customHeight="1" hidden="1">
      <c r="C4" s="49"/>
      <c r="D4" s="165"/>
      <c r="F4" s="165" t="s">
        <v>1017</v>
      </c>
    </row>
    <row r="5" spans="1:4" ht="34.5" customHeight="1">
      <c r="A5" s="50"/>
      <c r="B5" s="50"/>
      <c r="C5" s="15"/>
      <c r="D5" s="15"/>
    </row>
    <row r="6" spans="1:6" ht="18.75">
      <c r="A6" s="2298" t="s">
        <v>289</v>
      </c>
      <c r="B6" s="2298"/>
      <c r="C6" s="2298"/>
      <c r="D6" s="2298"/>
      <c r="E6" s="2298"/>
      <c r="F6" s="2298"/>
    </row>
    <row r="7" spans="1:6" ht="18.75">
      <c r="A7" s="2298" t="s">
        <v>764</v>
      </c>
      <c r="B7" s="2298"/>
      <c r="C7" s="2298"/>
      <c r="D7" s="2298"/>
      <c r="E7" s="2298"/>
      <c r="F7" s="2298"/>
    </row>
    <row r="8" spans="1:6" ht="30.75" customHeight="1">
      <c r="A8" s="2295" t="s">
        <v>72</v>
      </c>
      <c r="B8" s="2295"/>
      <c r="C8" s="2295"/>
      <c r="D8" s="2295"/>
      <c r="E8" s="2295"/>
      <c r="F8" s="2295"/>
    </row>
    <row r="9" spans="1:6" ht="15.75">
      <c r="A9" s="1026"/>
      <c r="B9" s="1026"/>
      <c r="C9" s="1026"/>
      <c r="D9" s="1026"/>
      <c r="E9" s="1026"/>
      <c r="F9" s="1026"/>
    </row>
    <row r="10" spans="1:6" ht="15.75">
      <c r="A10" s="1026"/>
      <c r="B10" s="1026"/>
      <c r="C10" s="1026"/>
      <c r="D10" s="1026"/>
      <c r="E10" s="1026"/>
      <c r="F10" s="1026"/>
    </row>
    <row r="11" spans="1:2" ht="23.25" customHeight="1" thickBot="1">
      <c r="A11" s="15"/>
      <c r="B11" s="15" t="s">
        <v>878</v>
      </c>
    </row>
    <row r="12" spans="1:6" ht="22.5" customHeight="1">
      <c r="A12" s="654"/>
      <c r="B12" s="645"/>
      <c r="C12" s="1142" t="s">
        <v>802</v>
      </c>
      <c r="D12" s="991" t="s">
        <v>802</v>
      </c>
      <c r="E12" s="631"/>
      <c r="F12" s="72"/>
    </row>
    <row r="13" spans="1:6" ht="22.5" customHeight="1">
      <c r="A13" s="655" t="s">
        <v>1050</v>
      </c>
      <c r="B13" s="337" t="s">
        <v>41</v>
      </c>
      <c r="C13" s="1143" t="s">
        <v>50</v>
      </c>
      <c r="D13" s="992" t="s">
        <v>490</v>
      </c>
      <c r="E13" s="632" t="s">
        <v>302</v>
      </c>
      <c r="F13" s="337" t="s">
        <v>302</v>
      </c>
    </row>
    <row r="14" spans="1:6" ht="22.5" customHeight="1" thickBot="1">
      <c r="A14" s="656"/>
      <c r="B14" s="646"/>
      <c r="C14" s="1144" t="s">
        <v>4</v>
      </c>
      <c r="D14" s="993" t="s">
        <v>4</v>
      </c>
      <c r="E14" s="633"/>
      <c r="F14" s="346" t="s">
        <v>304</v>
      </c>
    </row>
    <row r="15" spans="1:6" ht="22.5" customHeight="1">
      <c r="A15" s="998">
        <v>1</v>
      </c>
      <c r="B15" s="999">
        <v>2</v>
      </c>
      <c r="C15" s="1130">
        <v>3</v>
      </c>
      <c r="D15" s="2000">
        <v>4</v>
      </c>
      <c r="E15" s="1211">
        <v>5</v>
      </c>
      <c r="F15" s="1004">
        <v>6</v>
      </c>
    </row>
    <row r="16" spans="1:6" ht="15" customHeight="1">
      <c r="A16" s="26"/>
      <c r="B16" s="27"/>
      <c r="C16" s="78"/>
      <c r="D16" s="167"/>
      <c r="E16" s="167"/>
      <c r="F16" s="169"/>
    </row>
    <row r="17" spans="1:6" ht="18.75" customHeight="1">
      <c r="A17" s="36" t="s">
        <v>174</v>
      </c>
      <c r="B17" s="647" t="s">
        <v>312</v>
      </c>
      <c r="C17" s="367">
        <f>SUM(C18:C43)</f>
        <v>55228</v>
      </c>
      <c r="D17" s="367">
        <f>SUM(D18:D43)</f>
        <v>61190.287</v>
      </c>
      <c r="E17" s="367">
        <f>SUM(E18:E43)</f>
        <v>253409.802</v>
      </c>
      <c r="F17" s="368">
        <f>E17/D17*100</f>
        <v>414.13403078171547</v>
      </c>
    </row>
    <row r="18" spans="1:6" ht="15.75">
      <c r="A18" s="37"/>
      <c r="B18" s="70"/>
      <c r="C18" s="75"/>
      <c r="D18" s="1145"/>
      <c r="E18" s="1145"/>
      <c r="F18" s="1146"/>
    </row>
    <row r="19" spans="1:6" ht="14.25" customHeight="1">
      <c r="A19" s="657" t="s">
        <v>8</v>
      </c>
      <c r="B19" s="648" t="s">
        <v>648</v>
      </c>
      <c r="C19" s="393"/>
      <c r="D19" s="393"/>
      <c r="E19" s="393"/>
      <c r="F19" s="1147"/>
    </row>
    <row r="20" spans="1:6" ht="24.75" customHeight="1">
      <c r="A20" s="764">
        <v>1</v>
      </c>
      <c r="B20" s="1152" t="s">
        <v>855</v>
      </c>
      <c r="C20" s="393">
        <v>0</v>
      </c>
      <c r="D20" s="393">
        <v>0</v>
      </c>
      <c r="E20" s="393">
        <v>0</v>
      </c>
      <c r="F20" s="1147">
        <v>0</v>
      </c>
    </row>
    <row r="21" spans="1:6" ht="24.75" customHeight="1">
      <c r="A21" s="764">
        <v>2</v>
      </c>
      <c r="B21" s="1173" t="s">
        <v>433</v>
      </c>
      <c r="C21" s="393">
        <v>113</v>
      </c>
      <c r="D21" s="393">
        <v>478.8</v>
      </c>
      <c r="E21" s="393">
        <v>478.8</v>
      </c>
      <c r="F21" s="1147">
        <f>E21/D21*100</f>
        <v>100</v>
      </c>
    </row>
    <row r="22" spans="1:6" ht="24.75" customHeight="1">
      <c r="A22" s="764">
        <v>3</v>
      </c>
      <c r="B22" s="1173" t="s">
        <v>29</v>
      </c>
      <c r="C22" s="393">
        <v>4930</v>
      </c>
      <c r="D22" s="393">
        <v>0</v>
      </c>
      <c r="E22" s="393">
        <v>0</v>
      </c>
      <c r="F22" s="1147">
        <v>0</v>
      </c>
    </row>
    <row r="23" spans="1:6" ht="24.75" customHeight="1">
      <c r="A23" s="764">
        <v>4</v>
      </c>
      <c r="B23" s="1152" t="s">
        <v>403</v>
      </c>
      <c r="C23" s="393">
        <v>185</v>
      </c>
      <c r="D23" s="393">
        <v>0</v>
      </c>
      <c r="E23" s="393">
        <v>0</v>
      </c>
      <c r="F23" s="1147">
        <v>0</v>
      </c>
    </row>
    <row r="24" spans="1:6" ht="24.75" customHeight="1">
      <c r="A24" s="764">
        <v>5</v>
      </c>
      <c r="B24" s="1173" t="s">
        <v>28</v>
      </c>
      <c r="C24" s="393">
        <v>0</v>
      </c>
      <c r="D24" s="393">
        <v>0</v>
      </c>
      <c r="E24" s="393">
        <v>0</v>
      </c>
      <c r="F24" s="1147">
        <v>0</v>
      </c>
    </row>
    <row r="25" spans="1:6" ht="24.75" customHeight="1">
      <c r="A25" s="764">
        <v>6</v>
      </c>
      <c r="B25" s="1152" t="s">
        <v>765</v>
      </c>
      <c r="C25" s="394">
        <v>0</v>
      </c>
      <c r="D25" s="393">
        <v>844</v>
      </c>
      <c r="E25" s="393">
        <v>844</v>
      </c>
      <c r="F25" s="1147">
        <f>E25/D25*100</f>
        <v>100</v>
      </c>
    </row>
    <row r="26" spans="1:6" ht="24.75" customHeight="1">
      <c r="A26" s="764">
        <v>7</v>
      </c>
      <c r="B26" s="1152" t="s">
        <v>1185</v>
      </c>
      <c r="C26" s="394"/>
      <c r="D26" s="393">
        <v>104.42</v>
      </c>
      <c r="E26" s="393">
        <v>104.42</v>
      </c>
      <c r="F26" s="1147">
        <f>E26/D26*100</f>
        <v>100</v>
      </c>
    </row>
    <row r="27" spans="1:6" ht="24.75" customHeight="1">
      <c r="A27" s="764">
        <v>8</v>
      </c>
      <c r="B27" s="1152" t="s">
        <v>1186</v>
      </c>
      <c r="C27" s="394"/>
      <c r="D27" s="393">
        <v>1500</v>
      </c>
      <c r="E27" s="393">
        <v>1500</v>
      </c>
      <c r="F27" s="1147">
        <f>E27/D27*100</f>
        <v>100</v>
      </c>
    </row>
    <row r="28" spans="1:6" ht="24.75" customHeight="1">
      <c r="A28" s="764">
        <v>9</v>
      </c>
      <c r="B28" s="1152" t="s">
        <v>1187</v>
      </c>
      <c r="C28" s="394"/>
      <c r="D28" s="393">
        <v>125</v>
      </c>
      <c r="E28" s="393">
        <v>125</v>
      </c>
      <c r="F28" s="1147">
        <f>E28/D28*100</f>
        <v>100</v>
      </c>
    </row>
    <row r="29" spans="1:6" ht="24.75" customHeight="1">
      <c r="A29" s="764">
        <v>10</v>
      </c>
      <c r="B29" s="1152" t="s">
        <v>1188</v>
      </c>
      <c r="C29" s="394"/>
      <c r="D29" s="393">
        <v>5646.967</v>
      </c>
      <c r="E29" s="393">
        <v>5647</v>
      </c>
      <c r="F29" s="1147">
        <f>E29/D29*100</f>
        <v>100.00058438450235</v>
      </c>
    </row>
    <row r="30" spans="1:6" ht="24.75" customHeight="1">
      <c r="A30" s="764">
        <v>11</v>
      </c>
      <c r="B30" s="1152" t="s">
        <v>1211</v>
      </c>
      <c r="C30" s="394"/>
      <c r="D30" s="393"/>
      <c r="E30" s="393">
        <v>1723.617</v>
      </c>
      <c r="F30" s="1147">
        <v>0</v>
      </c>
    </row>
    <row r="31" spans="1:6" ht="24.75" customHeight="1">
      <c r="A31" s="764">
        <v>12</v>
      </c>
      <c r="B31" s="1152" t="s">
        <v>295</v>
      </c>
      <c r="C31" s="393"/>
      <c r="D31" s="393"/>
      <c r="E31" s="393">
        <v>15624</v>
      </c>
      <c r="F31" s="1147">
        <v>0</v>
      </c>
    </row>
    <row r="32" spans="1:6" ht="24.75" customHeight="1">
      <c r="A32" s="658">
        <v>13</v>
      </c>
      <c r="B32" s="1131" t="s">
        <v>981</v>
      </c>
      <c r="C32" s="393"/>
      <c r="D32" s="393"/>
      <c r="E32" s="393">
        <f>80+120.8</f>
        <v>200.8</v>
      </c>
      <c r="F32" s="1147">
        <v>0</v>
      </c>
    </row>
    <row r="33" spans="1:6" ht="13.5" customHeight="1">
      <c r="A33" s="391"/>
      <c r="B33" s="650"/>
      <c r="C33" s="393"/>
      <c r="D33" s="393"/>
      <c r="E33" s="393"/>
      <c r="F33" s="1147"/>
    </row>
    <row r="34" spans="1:6" ht="17.25" customHeight="1">
      <c r="A34" s="657" t="s">
        <v>10</v>
      </c>
      <c r="B34" s="648" t="s">
        <v>851</v>
      </c>
      <c r="C34" s="393"/>
      <c r="D34" s="393"/>
      <c r="E34" s="393"/>
      <c r="F34" s="1147"/>
    </row>
    <row r="35" spans="1:6" ht="24.75" customHeight="1">
      <c r="A35" s="658">
        <v>1</v>
      </c>
      <c r="B35" s="649" t="s">
        <v>852</v>
      </c>
      <c r="C35" s="393">
        <v>0</v>
      </c>
      <c r="D35" s="393">
        <v>0</v>
      </c>
      <c r="E35" s="393">
        <v>0</v>
      </c>
      <c r="F35" s="1147">
        <v>0</v>
      </c>
    </row>
    <row r="36" spans="1:6" ht="24.75" customHeight="1">
      <c r="A36" s="658">
        <v>2</v>
      </c>
      <c r="B36" s="649" t="s">
        <v>328</v>
      </c>
      <c r="C36" s="393">
        <v>0</v>
      </c>
      <c r="D36" s="393">
        <v>27</v>
      </c>
      <c r="E36" s="393">
        <v>27</v>
      </c>
      <c r="F36" s="1147">
        <f>E36/D36*100</f>
        <v>100</v>
      </c>
    </row>
    <row r="37" spans="1:6" ht="24.75" customHeight="1">
      <c r="A37" s="658">
        <v>3</v>
      </c>
      <c r="B37" s="1987" t="s">
        <v>326</v>
      </c>
      <c r="C37" s="393"/>
      <c r="D37" s="393"/>
      <c r="E37" s="393">
        <v>25981.065</v>
      </c>
      <c r="F37" s="1147">
        <v>0</v>
      </c>
    </row>
    <row r="38" spans="1:6" ht="24.75" customHeight="1">
      <c r="A38" s="658">
        <v>4</v>
      </c>
      <c r="B38" s="1987" t="s">
        <v>1212</v>
      </c>
      <c r="C38" s="393"/>
      <c r="D38" s="393"/>
      <c r="E38" s="393">
        <v>148690</v>
      </c>
      <c r="F38" s="1147">
        <v>0</v>
      </c>
    </row>
    <row r="39" spans="1:6" ht="15.75" customHeight="1">
      <c r="A39" s="658"/>
      <c r="B39" s="763"/>
      <c r="C39" s="393"/>
      <c r="D39" s="393"/>
      <c r="E39" s="393"/>
      <c r="F39" s="1147"/>
    </row>
    <row r="40" spans="1:6" ht="17.25" customHeight="1">
      <c r="A40" s="657" t="s">
        <v>21</v>
      </c>
      <c r="B40" s="648" t="s">
        <v>963</v>
      </c>
      <c r="C40" s="393"/>
      <c r="D40" s="393"/>
      <c r="E40" s="393"/>
      <c r="F40" s="1147"/>
    </row>
    <row r="41" spans="1:6" ht="24.75" customHeight="1">
      <c r="A41" s="658">
        <v>1</v>
      </c>
      <c r="B41" s="649" t="s">
        <v>106</v>
      </c>
      <c r="C41" s="393">
        <v>50000</v>
      </c>
      <c r="D41" s="393">
        <v>52464.1</v>
      </c>
      <c r="E41" s="393">
        <v>52464.1</v>
      </c>
      <c r="F41" s="1147">
        <f>E41/D41*100</f>
        <v>100</v>
      </c>
    </row>
    <row r="42" spans="1:6" ht="7.5" customHeight="1">
      <c r="A42" s="391"/>
      <c r="B42" s="392"/>
      <c r="C42" s="393"/>
      <c r="D42" s="393"/>
      <c r="E42" s="393"/>
      <c r="F42" s="1147"/>
    </row>
    <row r="43" spans="1:6" ht="7.5" customHeight="1">
      <c r="A43" s="391"/>
      <c r="B43" s="392"/>
      <c r="C43" s="393"/>
      <c r="D43" s="393"/>
      <c r="E43" s="393"/>
      <c r="F43" s="1147"/>
    </row>
    <row r="44" spans="1:6" ht="18.75" customHeight="1">
      <c r="A44" s="680" t="s">
        <v>457</v>
      </c>
      <c r="B44" s="681" t="s">
        <v>853</v>
      </c>
      <c r="C44" s="682">
        <f>SUM(C46:C51)</f>
        <v>0</v>
      </c>
      <c r="D44" s="1148">
        <f>SUM(D46:D51)</f>
        <v>4400.875</v>
      </c>
      <c r="E44" s="1148">
        <f>SUM(E46:E51)</f>
        <v>4401</v>
      </c>
      <c r="F44" s="1149">
        <f>E44/D44*100</f>
        <v>100.00284034424973</v>
      </c>
    </row>
    <row r="45" spans="1:6" ht="18.75" customHeight="1">
      <c r="A45" s="1133"/>
      <c r="B45" s="1134"/>
      <c r="C45" s="1132"/>
      <c r="D45" s="1150"/>
      <c r="E45" s="1150"/>
      <c r="F45" s="1151"/>
    </row>
    <row r="46" spans="1:6" ht="24.75" customHeight="1">
      <c r="A46" s="764">
        <v>1</v>
      </c>
      <c r="B46" s="774" t="s">
        <v>854</v>
      </c>
      <c r="C46" s="393">
        <v>0</v>
      </c>
      <c r="D46" s="393">
        <v>1475</v>
      </c>
      <c r="E46" s="393">
        <v>1475</v>
      </c>
      <c r="F46" s="1147">
        <f>E46/D46*100</f>
        <v>100</v>
      </c>
    </row>
    <row r="47" spans="1:6" ht="24.75" customHeight="1">
      <c r="A47" s="764">
        <v>2</v>
      </c>
      <c r="B47" s="774" t="s">
        <v>1028</v>
      </c>
      <c r="C47" s="393">
        <v>0</v>
      </c>
      <c r="D47" s="393">
        <v>50</v>
      </c>
      <c r="E47" s="393">
        <v>50</v>
      </c>
      <c r="F47" s="1147">
        <f>E47/D47*100</f>
        <v>100</v>
      </c>
    </row>
    <row r="48" spans="1:6" ht="24.75" customHeight="1">
      <c r="A48" s="764">
        <v>3</v>
      </c>
      <c r="B48" s="774" t="s">
        <v>964</v>
      </c>
      <c r="C48" s="393">
        <v>0</v>
      </c>
      <c r="D48" s="393">
        <v>875.875</v>
      </c>
      <c r="E48" s="393">
        <v>876</v>
      </c>
      <c r="F48" s="1147">
        <f>E48/D48*100</f>
        <v>100.01427144284287</v>
      </c>
    </row>
    <row r="49" spans="1:6" ht="24.75" customHeight="1">
      <c r="A49" s="764">
        <v>4</v>
      </c>
      <c r="B49" s="774" t="s">
        <v>1189</v>
      </c>
      <c r="C49" s="393"/>
      <c r="D49" s="393">
        <v>2000</v>
      </c>
      <c r="E49" s="393">
        <v>2000</v>
      </c>
      <c r="F49" s="1147">
        <f>E49/D49*100</f>
        <v>100</v>
      </c>
    </row>
    <row r="50" spans="1:6" ht="14.25" customHeight="1">
      <c r="A50" s="658"/>
      <c r="B50" s="797"/>
      <c r="C50" s="393"/>
      <c r="D50" s="393"/>
      <c r="E50" s="393"/>
      <c r="F50" s="1147"/>
    </row>
    <row r="51" spans="1:6" ht="12" customHeight="1">
      <c r="A51" s="658"/>
      <c r="B51" s="651"/>
      <c r="C51" s="393"/>
      <c r="D51" s="393"/>
      <c r="E51" s="393"/>
      <c r="F51" s="1147"/>
    </row>
    <row r="52" spans="1:6" ht="11.25" customHeight="1" thickBot="1">
      <c r="A52" s="391"/>
      <c r="B52" s="652"/>
      <c r="C52" s="393"/>
      <c r="D52" s="393"/>
      <c r="E52" s="393"/>
      <c r="F52" s="1147"/>
    </row>
    <row r="53" spans="1:6" ht="29.25" customHeight="1" thickBot="1">
      <c r="A53" s="659"/>
      <c r="B53" s="653" t="s">
        <v>48</v>
      </c>
      <c r="C53" s="362">
        <f>C17+C44</f>
        <v>55228</v>
      </c>
      <c r="D53" s="362">
        <f>D17+D44</f>
        <v>65591.162</v>
      </c>
      <c r="E53" s="362">
        <f>E17+E44</f>
        <v>257810.802</v>
      </c>
      <c r="F53" s="400">
        <f>E53/D53*100</f>
        <v>393.0572262159344</v>
      </c>
    </row>
    <row r="54" spans="1:6" ht="27.75" customHeight="1">
      <c r="A54" s="395"/>
      <c r="B54" s="395" t="s">
        <v>762</v>
      </c>
      <c r="C54" s="395"/>
      <c r="D54" s="395"/>
      <c r="E54" s="395"/>
      <c r="F54" s="395"/>
    </row>
    <row r="55" spans="1:5" ht="12.75">
      <c r="A55" s="395"/>
      <c r="E55" s="11"/>
    </row>
    <row r="56" spans="2:5" ht="12.75">
      <c r="B56" s="165"/>
      <c r="C56" s="11"/>
      <c r="D56" s="11"/>
      <c r="E56" s="11"/>
    </row>
    <row r="57" spans="2:5" ht="12.75">
      <c r="B57" s="159"/>
      <c r="C57" s="11"/>
      <c r="D57" s="11"/>
      <c r="E57" s="11"/>
    </row>
    <row r="58" spans="2:5" ht="12.75">
      <c r="B58" s="165"/>
      <c r="C58" s="11"/>
      <c r="D58" s="11"/>
      <c r="E58" s="11"/>
    </row>
    <row r="59" spans="2:5" ht="12.75">
      <c r="B59" s="165"/>
      <c r="C59" s="11"/>
      <c r="D59" s="11"/>
      <c r="E59" s="11"/>
    </row>
  </sheetData>
  <sheetProtection/>
  <mergeCells count="3">
    <mergeCell ref="A6:F6"/>
    <mergeCell ref="A7:F7"/>
    <mergeCell ref="A8:F8"/>
  </mergeCells>
  <printOptions horizontalCentered="1" verticalCentered="1"/>
  <pageMargins left="0" right="0" top="0.5118110236220472" bottom="0.6299212598425197" header="0.35433070866141736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80"/>
  <sheetViews>
    <sheetView zoomScale="85" zoomScaleNormal="85" zoomScalePageLayoutView="0" workbookViewId="0" topLeftCell="A1">
      <selection activeCell="F3" sqref="F3"/>
    </sheetView>
  </sheetViews>
  <sheetFormatPr defaultColWidth="9.00390625" defaultRowHeight="12.75"/>
  <cols>
    <col min="1" max="1" width="5.375" style="7" customWidth="1"/>
    <col min="2" max="2" width="50.75390625" style="7" customWidth="1"/>
    <col min="3" max="3" width="16.125" style="7" customWidth="1"/>
    <col min="4" max="4" width="16.125" style="32" customWidth="1"/>
    <col min="5" max="5" width="15.875" style="7" customWidth="1"/>
    <col min="6" max="6" width="10.375" style="7" customWidth="1"/>
    <col min="7" max="16384" width="9.125" style="7" customWidth="1"/>
  </cols>
  <sheetData>
    <row r="2" spans="1:6" ht="12.75">
      <c r="A2" s="14"/>
      <c r="B2" s="14"/>
      <c r="C2" s="21"/>
      <c r="D2" s="21"/>
      <c r="E2" s="21"/>
      <c r="F2" s="543" t="s">
        <v>1267</v>
      </c>
    </row>
    <row r="3" spans="1:6" ht="12.75">
      <c r="A3" s="14"/>
      <c r="B3" s="14"/>
      <c r="C3" s="21"/>
      <c r="D3" s="21"/>
      <c r="E3" s="332"/>
      <c r="F3" s="544" t="s">
        <v>71</v>
      </c>
    </row>
    <row r="4" spans="1:8" ht="36" customHeight="1" hidden="1">
      <c r="A4" s="14"/>
      <c r="B4" s="14"/>
      <c r="C4" s="21"/>
      <c r="F4" s="690" t="s">
        <v>428</v>
      </c>
      <c r="G4" s="2302"/>
      <c r="H4" s="2302"/>
    </row>
    <row r="5" spans="1:8" ht="18.75" customHeight="1">
      <c r="A5" s="2299" t="s">
        <v>803</v>
      </c>
      <c r="B5" s="2299"/>
      <c r="C5" s="2299"/>
      <c r="D5" s="2299"/>
      <c r="E5" s="2299"/>
      <c r="F5" s="2299"/>
      <c r="G5" s="2302"/>
      <c r="H5" s="2302"/>
    </row>
    <row r="6" spans="1:8" ht="14.25">
      <c r="A6" s="2300" t="s">
        <v>766</v>
      </c>
      <c r="B6" s="2300"/>
      <c r="C6" s="2300"/>
      <c r="D6" s="2300"/>
      <c r="E6" s="2300"/>
      <c r="F6" s="2300"/>
      <c r="G6" s="2303"/>
      <c r="H6" s="2303"/>
    </row>
    <row r="7" spans="1:6" ht="20.25" customHeight="1">
      <c r="A7" s="2301" t="s">
        <v>72</v>
      </c>
      <c r="B7" s="2301"/>
      <c r="C7" s="2301"/>
      <c r="D7" s="2301"/>
      <c r="E7" s="2301"/>
      <c r="F7" s="2301"/>
    </row>
    <row r="8" spans="1:6" ht="20.25" customHeight="1">
      <c r="A8" s="1027"/>
      <c r="B8" s="1027"/>
      <c r="C8" s="1027"/>
      <c r="D8" s="1027"/>
      <c r="E8" s="1027"/>
      <c r="F8" s="1027"/>
    </row>
    <row r="9" spans="1:3" ht="13.5" thickBot="1">
      <c r="A9" s="14"/>
      <c r="B9" s="22"/>
      <c r="C9" s="16"/>
    </row>
    <row r="10" spans="1:25" ht="13.5" customHeight="1">
      <c r="A10" s="374"/>
      <c r="B10" s="1153"/>
      <c r="C10" s="1139" t="s">
        <v>802</v>
      </c>
      <c r="D10" s="1140" t="s">
        <v>802</v>
      </c>
      <c r="E10" s="691"/>
      <c r="F10" s="10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3.5" customHeight="1">
      <c r="A11" s="373" t="s">
        <v>1048</v>
      </c>
      <c r="B11" s="1154" t="s">
        <v>41</v>
      </c>
      <c r="C11" s="23" t="s">
        <v>50</v>
      </c>
      <c r="D11" s="1141" t="s">
        <v>490</v>
      </c>
      <c r="E11" s="692" t="s">
        <v>302</v>
      </c>
      <c r="F11" s="101" t="s">
        <v>302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3.5" customHeight="1" thickBot="1">
      <c r="A12" s="375"/>
      <c r="B12" s="1155"/>
      <c r="C12" s="24" t="s">
        <v>4</v>
      </c>
      <c r="D12" s="683" t="s">
        <v>4</v>
      </c>
      <c r="E12" s="693"/>
      <c r="F12" s="102" t="s">
        <v>304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3.5" customHeight="1">
      <c r="A13" s="1000">
        <v>1</v>
      </c>
      <c r="B13" s="1001">
        <v>2</v>
      </c>
      <c r="C13" s="1130">
        <v>3</v>
      </c>
      <c r="D13" s="1998">
        <v>4</v>
      </c>
      <c r="E13" s="1999">
        <v>5</v>
      </c>
      <c r="F13" s="1002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31.5" customHeight="1">
      <c r="A14" s="433" t="s">
        <v>174</v>
      </c>
      <c r="B14" s="57" t="s">
        <v>861</v>
      </c>
      <c r="C14" s="94">
        <f>SUM(C16:C24)</f>
        <v>25524</v>
      </c>
      <c r="D14" s="94">
        <f>SUM(D16:D24)</f>
        <v>82019</v>
      </c>
      <c r="E14" s="94">
        <f>SUM(E16:E24)</f>
        <v>58813.389</v>
      </c>
      <c r="F14" s="157">
        <f>E14/D14*100</f>
        <v>71.70703007839647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9.75" customHeight="1">
      <c r="A15" s="25"/>
      <c r="B15" s="347"/>
      <c r="C15" s="349"/>
      <c r="D15" s="424"/>
      <c r="E15" s="424"/>
      <c r="F15" s="348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6.5" customHeight="1">
      <c r="A16" s="617" t="s">
        <v>8</v>
      </c>
      <c r="B16" s="937" t="s">
        <v>641</v>
      </c>
      <c r="C16" s="350"/>
      <c r="D16" s="425"/>
      <c r="E16" s="425"/>
      <c r="F16" s="352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6.5" customHeight="1">
      <c r="A17" s="338">
        <v>1</v>
      </c>
      <c r="B17" s="619" t="s">
        <v>929</v>
      </c>
      <c r="C17" s="350">
        <v>60</v>
      </c>
      <c r="D17" s="425">
        <v>152</v>
      </c>
      <c r="E17" s="425">
        <v>152.45</v>
      </c>
      <c r="F17" s="352">
        <f>E17/D17*100</f>
        <v>100.29605263157895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5" customHeight="1">
      <c r="A18" s="338">
        <v>2</v>
      </c>
      <c r="B18" s="619" t="s">
        <v>120</v>
      </c>
      <c r="C18" s="350"/>
      <c r="D18" s="425">
        <v>797</v>
      </c>
      <c r="E18" s="425">
        <v>797.139</v>
      </c>
      <c r="F18" s="352">
        <f>E18/D18*100</f>
        <v>100.01744040150564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8.25" customHeight="1">
      <c r="A19" s="338"/>
      <c r="B19" s="619"/>
      <c r="C19" s="93"/>
      <c r="D19" s="426"/>
      <c r="E19" s="426"/>
      <c r="F19" s="352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.75" customHeight="1">
      <c r="A20" s="617" t="s">
        <v>10</v>
      </c>
      <c r="B20" s="938" t="s">
        <v>642</v>
      </c>
      <c r="C20" s="93"/>
      <c r="D20" s="426"/>
      <c r="E20" s="426"/>
      <c r="F20" s="352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 customHeight="1">
      <c r="A21" s="338">
        <v>1</v>
      </c>
      <c r="B21" s="619" t="s">
        <v>172</v>
      </c>
      <c r="C21" s="350">
        <v>25464</v>
      </c>
      <c r="D21" s="425">
        <v>21734</v>
      </c>
      <c r="E21" s="426">
        <v>0</v>
      </c>
      <c r="F21" s="352">
        <f>E21/D21*100</f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 customHeight="1">
      <c r="A22" s="338">
        <v>2</v>
      </c>
      <c r="B22" s="619" t="s">
        <v>984</v>
      </c>
      <c r="C22" s="350"/>
      <c r="D22" s="425">
        <v>58836</v>
      </c>
      <c r="E22" s="426">
        <v>57363.8</v>
      </c>
      <c r="F22" s="352">
        <f>E22/D22*100</f>
        <v>97.4977904684207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.75" customHeight="1">
      <c r="A23" s="338">
        <v>3</v>
      </c>
      <c r="B23" s="619" t="s">
        <v>1027</v>
      </c>
      <c r="C23" s="350"/>
      <c r="D23" s="425">
        <v>500</v>
      </c>
      <c r="E23" s="426">
        <v>500</v>
      </c>
      <c r="F23" s="352">
        <f>E23/D23*100</f>
        <v>100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6" customHeight="1">
      <c r="A24" s="26"/>
      <c r="B24" s="55"/>
      <c r="C24" s="93"/>
      <c r="D24" s="427"/>
      <c r="E24" s="427"/>
      <c r="F24" s="18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6.5" customHeight="1">
      <c r="A25" s="171" t="s">
        <v>457</v>
      </c>
      <c r="B25" s="333" t="s">
        <v>860</v>
      </c>
      <c r="C25" s="351">
        <f>SUM(C27:C69)</f>
        <v>110950</v>
      </c>
      <c r="D25" s="351">
        <f>SUM(D27:D71)</f>
        <v>201163</v>
      </c>
      <c r="E25" s="351">
        <f>SUM(E27:E71)</f>
        <v>102965</v>
      </c>
      <c r="F25" s="428">
        <f>E25/D25*100</f>
        <v>51.18486003887395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7.5" customHeight="1">
      <c r="A26" s="20"/>
      <c r="B26" s="56"/>
      <c r="C26" s="95"/>
      <c r="D26" s="429"/>
      <c r="E26" s="429"/>
      <c r="F26" s="430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3.5" customHeight="1">
      <c r="A27" s="354" t="s">
        <v>67</v>
      </c>
      <c r="B27" s="620" t="s">
        <v>130</v>
      </c>
      <c r="C27" s="96"/>
      <c r="D27" s="96"/>
      <c r="E27" s="96"/>
      <c r="F27" s="182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3.5" customHeight="1">
      <c r="A28" s="339">
        <v>1</v>
      </c>
      <c r="B28" s="341" t="s">
        <v>276</v>
      </c>
      <c r="C28" s="66">
        <v>2000</v>
      </c>
      <c r="D28" s="66">
        <v>2000</v>
      </c>
      <c r="E28" s="66">
        <v>2000</v>
      </c>
      <c r="F28" s="352">
        <f aca="true" t="shared" si="0" ref="F28:F73">E28/D28*100</f>
        <v>100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3.5" customHeight="1">
      <c r="A29" s="339">
        <v>2</v>
      </c>
      <c r="B29" s="341" t="s">
        <v>39</v>
      </c>
      <c r="C29" s="66">
        <v>2000</v>
      </c>
      <c r="D29" s="66">
        <v>2000</v>
      </c>
      <c r="E29" s="66">
        <v>2000</v>
      </c>
      <c r="F29" s="352">
        <f t="shared" si="0"/>
        <v>100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3.5" customHeight="1">
      <c r="A30" s="339">
        <v>3</v>
      </c>
      <c r="B30" s="341" t="s">
        <v>43</v>
      </c>
      <c r="C30" s="66">
        <v>2000</v>
      </c>
      <c r="D30" s="66">
        <v>2000</v>
      </c>
      <c r="E30" s="66">
        <v>2000</v>
      </c>
      <c r="F30" s="352">
        <f t="shared" si="0"/>
        <v>100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3.5" customHeight="1">
      <c r="A31" s="339">
        <v>4</v>
      </c>
      <c r="B31" s="341" t="s">
        <v>271</v>
      </c>
      <c r="C31" s="66">
        <v>1000</v>
      </c>
      <c r="D31" s="66">
        <v>1000</v>
      </c>
      <c r="E31" s="66">
        <v>1000</v>
      </c>
      <c r="F31" s="352">
        <f t="shared" si="0"/>
        <v>100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3.5" customHeight="1">
      <c r="A32" s="339">
        <v>5</v>
      </c>
      <c r="B32" s="341" t="s">
        <v>37</v>
      </c>
      <c r="C32" s="66">
        <v>2000</v>
      </c>
      <c r="D32" s="66">
        <v>2000</v>
      </c>
      <c r="E32" s="66">
        <v>2000</v>
      </c>
      <c r="F32" s="352">
        <f t="shared" si="0"/>
        <v>100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3.5" customHeight="1">
      <c r="A33" s="339">
        <v>6</v>
      </c>
      <c r="B33" s="341" t="s">
        <v>272</v>
      </c>
      <c r="C33" s="66">
        <v>2000</v>
      </c>
      <c r="D33" s="66">
        <v>2000</v>
      </c>
      <c r="E33" s="66">
        <v>2000</v>
      </c>
      <c r="F33" s="352">
        <f t="shared" si="0"/>
        <v>100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3.5" customHeight="1">
      <c r="A34" s="339">
        <v>7</v>
      </c>
      <c r="B34" s="341" t="s">
        <v>479</v>
      </c>
      <c r="C34" s="360">
        <v>2000</v>
      </c>
      <c r="D34" s="360">
        <v>2000</v>
      </c>
      <c r="E34" s="360">
        <v>2000</v>
      </c>
      <c r="F34" s="352">
        <f t="shared" si="0"/>
        <v>100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3.5" customHeight="1">
      <c r="A35" s="785">
        <v>8</v>
      </c>
      <c r="B35" s="341" t="s">
        <v>337</v>
      </c>
      <c r="C35" s="360">
        <v>2500</v>
      </c>
      <c r="D35" s="360">
        <v>2500</v>
      </c>
      <c r="E35" s="360">
        <v>2500</v>
      </c>
      <c r="F35" s="352">
        <f t="shared" si="0"/>
        <v>100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3.5" customHeight="1">
      <c r="A36" s="339">
        <v>9</v>
      </c>
      <c r="B36" s="341" t="s">
        <v>42</v>
      </c>
      <c r="C36" s="360">
        <v>2000</v>
      </c>
      <c r="D36" s="360">
        <v>2000</v>
      </c>
      <c r="E36" s="360">
        <v>2000</v>
      </c>
      <c r="F36" s="352">
        <f t="shared" si="0"/>
        <v>100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3.5" customHeight="1">
      <c r="A37" s="339">
        <v>10</v>
      </c>
      <c r="B37" s="341" t="s">
        <v>36</v>
      </c>
      <c r="C37" s="360">
        <v>1300</v>
      </c>
      <c r="D37" s="360">
        <v>1300</v>
      </c>
      <c r="E37" s="360">
        <v>1300</v>
      </c>
      <c r="F37" s="352">
        <f t="shared" si="0"/>
        <v>100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3.5" customHeight="1">
      <c r="A38" s="339">
        <v>11</v>
      </c>
      <c r="B38" s="341" t="s">
        <v>277</v>
      </c>
      <c r="C38" s="360">
        <v>800</v>
      </c>
      <c r="D38" s="360">
        <v>800</v>
      </c>
      <c r="E38" s="360">
        <v>800</v>
      </c>
      <c r="F38" s="352">
        <f t="shared" si="0"/>
        <v>100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3.5" customHeight="1">
      <c r="A39" s="339">
        <v>12</v>
      </c>
      <c r="B39" s="341" t="s">
        <v>35</v>
      </c>
      <c r="C39" s="360">
        <v>2000</v>
      </c>
      <c r="D39" s="360">
        <v>2000</v>
      </c>
      <c r="E39" s="360">
        <v>2000</v>
      </c>
      <c r="F39" s="352">
        <f t="shared" si="0"/>
        <v>100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3.5" customHeight="1">
      <c r="A40" s="339">
        <v>13</v>
      </c>
      <c r="B40" s="341" t="s">
        <v>1053</v>
      </c>
      <c r="C40" s="360">
        <v>1000</v>
      </c>
      <c r="D40" s="360">
        <v>1000</v>
      </c>
      <c r="E40" s="360">
        <v>1000</v>
      </c>
      <c r="F40" s="352">
        <f t="shared" si="0"/>
        <v>100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3.5" customHeight="1">
      <c r="A41" s="339">
        <v>14</v>
      </c>
      <c r="B41" s="341" t="s">
        <v>645</v>
      </c>
      <c r="C41" s="360">
        <v>2000</v>
      </c>
      <c r="D41" s="360">
        <v>2000</v>
      </c>
      <c r="E41" s="360">
        <v>2000</v>
      </c>
      <c r="F41" s="352">
        <f t="shared" si="0"/>
        <v>100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3.5" customHeight="1">
      <c r="A42" s="339">
        <v>15</v>
      </c>
      <c r="B42" s="341" t="s">
        <v>480</v>
      </c>
      <c r="C42" s="421">
        <v>1500</v>
      </c>
      <c r="D42" s="360">
        <v>1500</v>
      </c>
      <c r="E42" s="360">
        <v>1500</v>
      </c>
      <c r="F42" s="352">
        <v>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9" customHeight="1">
      <c r="A43" s="339"/>
      <c r="B43" s="342"/>
      <c r="C43" s="421"/>
      <c r="D43" s="360"/>
      <c r="E43" s="360"/>
      <c r="F43" s="352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3.5" customHeight="1">
      <c r="A44" s="354" t="s">
        <v>68</v>
      </c>
      <c r="B44" s="422" t="s">
        <v>131</v>
      </c>
      <c r="C44" s="423"/>
      <c r="D44" s="359"/>
      <c r="E44" s="359"/>
      <c r="F44" s="352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3.5" customHeight="1">
      <c r="A45" s="785">
        <v>1</v>
      </c>
      <c r="B45" s="341" t="s">
        <v>301</v>
      </c>
      <c r="C45" s="423">
        <v>2000</v>
      </c>
      <c r="D45" s="359">
        <v>2000</v>
      </c>
      <c r="E45" s="359">
        <v>2000</v>
      </c>
      <c r="F45" s="352">
        <f t="shared" si="0"/>
        <v>100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3.5" customHeight="1">
      <c r="A46" s="339">
        <v>2</v>
      </c>
      <c r="B46" s="341" t="s">
        <v>215</v>
      </c>
      <c r="C46" s="423">
        <v>2000</v>
      </c>
      <c r="D46" s="359">
        <v>2000</v>
      </c>
      <c r="E46" s="359">
        <v>2000</v>
      </c>
      <c r="F46" s="352">
        <f t="shared" si="0"/>
        <v>100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3.5" customHeight="1">
      <c r="A47" s="339">
        <v>3</v>
      </c>
      <c r="B47" s="341" t="s">
        <v>1124</v>
      </c>
      <c r="C47" s="359">
        <v>1000</v>
      </c>
      <c r="D47" s="359">
        <v>1000</v>
      </c>
      <c r="E47" s="359">
        <v>1000</v>
      </c>
      <c r="F47" s="352">
        <f t="shared" si="0"/>
        <v>100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3.5" customHeight="1">
      <c r="A48" s="339">
        <v>4</v>
      </c>
      <c r="B48" s="341" t="s">
        <v>216</v>
      </c>
      <c r="C48" s="359">
        <v>900</v>
      </c>
      <c r="D48" s="359">
        <v>900</v>
      </c>
      <c r="E48" s="359">
        <v>900</v>
      </c>
      <c r="F48" s="352">
        <f t="shared" si="0"/>
        <v>100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9.75" customHeight="1">
      <c r="A49" s="339"/>
      <c r="B49" s="356"/>
      <c r="C49" s="359"/>
      <c r="D49" s="359"/>
      <c r="E49" s="359"/>
      <c r="F49" s="352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3.5" customHeight="1">
      <c r="A50" s="354" t="s">
        <v>69</v>
      </c>
      <c r="B50" s="355" t="s">
        <v>520</v>
      </c>
      <c r="C50" s="369"/>
      <c r="D50" s="431"/>
      <c r="E50" s="369"/>
      <c r="F50" s="352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3.5" customHeight="1">
      <c r="A51" s="338">
        <v>1</v>
      </c>
      <c r="B51" s="341" t="s">
        <v>481</v>
      </c>
      <c r="C51" s="359">
        <v>4000</v>
      </c>
      <c r="D51" s="359">
        <v>4000</v>
      </c>
      <c r="E51" s="359">
        <v>4000</v>
      </c>
      <c r="F51" s="352">
        <f t="shared" si="0"/>
        <v>100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3.5" customHeight="1">
      <c r="A52" s="338">
        <v>2</v>
      </c>
      <c r="B52" s="341" t="s">
        <v>299</v>
      </c>
      <c r="C52" s="359">
        <v>20000</v>
      </c>
      <c r="D52" s="359">
        <v>0</v>
      </c>
      <c r="E52" s="359">
        <v>0</v>
      </c>
      <c r="F52" s="352">
        <v>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3.5" customHeight="1">
      <c r="A53" s="338">
        <v>3</v>
      </c>
      <c r="B53" s="618" t="s">
        <v>25</v>
      </c>
      <c r="C53" s="359">
        <v>3000</v>
      </c>
      <c r="D53" s="359">
        <v>3000</v>
      </c>
      <c r="E53" s="359">
        <v>3000</v>
      </c>
      <c r="F53" s="352">
        <f t="shared" si="0"/>
        <v>100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ht="13.5" customHeight="1">
      <c r="A54" s="339">
        <v>4</v>
      </c>
      <c r="B54" s="621" t="s">
        <v>931</v>
      </c>
      <c r="C54" s="359">
        <v>950</v>
      </c>
      <c r="D54" s="359">
        <v>950</v>
      </c>
      <c r="E54" s="359">
        <v>950</v>
      </c>
      <c r="F54" s="352">
        <f t="shared" si="0"/>
        <v>100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ht="13.5" customHeight="1">
      <c r="A55" s="338">
        <v>5</v>
      </c>
      <c r="B55" s="625" t="s">
        <v>856</v>
      </c>
      <c r="C55" s="359">
        <v>0</v>
      </c>
      <c r="D55" s="359">
        <v>0</v>
      </c>
      <c r="E55" s="359">
        <v>0</v>
      </c>
      <c r="F55" s="352">
        <v>0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ht="13.5" customHeight="1">
      <c r="A56" s="338">
        <v>6</v>
      </c>
      <c r="B56" s="625" t="s">
        <v>930</v>
      </c>
      <c r="C56" s="359">
        <v>0</v>
      </c>
      <c r="D56" s="359">
        <v>0</v>
      </c>
      <c r="E56" s="359">
        <v>0</v>
      </c>
      <c r="F56" s="352">
        <v>0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ht="13.5" customHeight="1">
      <c r="A57" s="338">
        <v>7</v>
      </c>
      <c r="B57" s="341" t="s">
        <v>1122</v>
      </c>
      <c r="C57" s="359">
        <v>0</v>
      </c>
      <c r="D57" s="359">
        <v>251</v>
      </c>
      <c r="E57" s="359">
        <v>0</v>
      </c>
      <c r="F57" s="352"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ht="13.5" customHeight="1">
      <c r="A58" s="338">
        <v>8</v>
      </c>
      <c r="B58" s="341" t="s">
        <v>404</v>
      </c>
      <c r="C58" s="359">
        <v>0</v>
      </c>
      <c r="D58" s="359">
        <v>60000</v>
      </c>
      <c r="E58" s="1005">
        <v>9848</v>
      </c>
      <c r="F58" s="352">
        <f t="shared" si="0"/>
        <v>16.413333333333334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3.5" customHeight="1">
      <c r="A59" s="338">
        <v>9</v>
      </c>
      <c r="B59" s="341" t="s">
        <v>524</v>
      </c>
      <c r="C59" s="359">
        <v>0</v>
      </c>
      <c r="D59" s="359">
        <v>25072</v>
      </c>
      <c r="E59" s="359">
        <v>13897</v>
      </c>
      <c r="F59" s="352">
        <f t="shared" si="0"/>
        <v>55.42836630504148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9.75" customHeight="1">
      <c r="A60" s="338"/>
      <c r="B60" s="2"/>
      <c r="C60" s="361"/>
      <c r="D60" s="361"/>
      <c r="E60" s="361"/>
      <c r="F60" s="352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ht="13.5" customHeight="1">
      <c r="A61" s="354" t="s">
        <v>70</v>
      </c>
      <c r="B61" s="357" t="s">
        <v>132</v>
      </c>
      <c r="C61" s="359"/>
      <c r="D61" s="359"/>
      <c r="E61" s="359"/>
      <c r="F61" s="352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ht="13.5" customHeight="1">
      <c r="A62" s="338">
        <v>1</v>
      </c>
      <c r="B62" s="622" t="s">
        <v>1126</v>
      </c>
      <c r="C62" s="66">
        <v>4000</v>
      </c>
      <c r="D62" s="66">
        <v>2229</v>
      </c>
      <c r="E62" s="66">
        <v>1229</v>
      </c>
      <c r="F62" s="352">
        <f t="shared" si="0"/>
        <v>55.13683266038583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25" ht="13.5" customHeight="1">
      <c r="A63" s="338">
        <v>2</v>
      </c>
      <c r="B63" s="622" t="s">
        <v>857</v>
      </c>
      <c r="C63" s="66">
        <v>32385</v>
      </c>
      <c r="D63" s="66">
        <v>40395</v>
      </c>
      <c r="E63" s="66">
        <v>14180</v>
      </c>
      <c r="F63" s="352">
        <f t="shared" si="0"/>
        <v>35.10335437554153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13.5" customHeight="1">
      <c r="A64" s="338">
        <v>3</v>
      </c>
      <c r="B64" s="342" t="s">
        <v>932</v>
      </c>
      <c r="C64" s="66">
        <v>5000</v>
      </c>
      <c r="D64" s="66">
        <v>5000</v>
      </c>
      <c r="E64" s="66">
        <v>5000</v>
      </c>
      <c r="F64" s="352">
        <f t="shared" si="0"/>
        <v>100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ht="13.5" customHeight="1">
      <c r="A65" s="338">
        <v>4</v>
      </c>
      <c r="B65" s="618" t="s">
        <v>767</v>
      </c>
      <c r="C65" s="66">
        <v>2000</v>
      </c>
      <c r="D65" s="66">
        <v>2000</v>
      </c>
      <c r="E65" s="66">
        <v>210</v>
      </c>
      <c r="F65" s="352">
        <f t="shared" si="0"/>
        <v>10.5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ht="13.5" customHeight="1">
      <c r="A66" s="338">
        <v>5</v>
      </c>
      <c r="B66" s="622" t="s">
        <v>1029</v>
      </c>
      <c r="C66" s="66">
        <v>7615</v>
      </c>
      <c r="D66" s="66">
        <v>7615</v>
      </c>
      <c r="E66" s="66">
        <v>0</v>
      </c>
      <c r="F66" s="352">
        <f t="shared" si="0"/>
        <v>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ht="7.5" customHeight="1">
      <c r="A67" s="338"/>
      <c r="B67" s="358"/>
      <c r="C67" s="66"/>
      <c r="D67" s="66"/>
      <c r="E67" s="66"/>
      <c r="F67" s="352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ht="13.5" customHeight="1">
      <c r="A68" s="354" t="s">
        <v>539</v>
      </c>
      <c r="B68" s="623" t="s">
        <v>540</v>
      </c>
      <c r="C68" s="360"/>
      <c r="D68" s="360"/>
      <c r="E68" s="360"/>
      <c r="F68" s="352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ht="13.5" customHeight="1">
      <c r="A69" s="338">
        <v>1</v>
      </c>
      <c r="B69" s="1503" t="s">
        <v>1030</v>
      </c>
      <c r="C69" s="360">
        <v>0</v>
      </c>
      <c r="D69" s="360">
        <v>3000</v>
      </c>
      <c r="E69" s="360">
        <v>3000</v>
      </c>
      <c r="F69" s="352">
        <f t="shared" si="0"/>
        <v>100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ht="13.5" customHeight="1">
      <c r="A70" s="338">
        <v>2</v>
      </c>
      <c r="B70" s="2" t="s">
        <v>1190</v>
      </c>
      <c r="C70" s="360"/>
      <c r="D70" s="360">
        <v>15651</v>
      </c>
      <c r="E70" s="360">
        <v>15651</v>
      </c>
      <c r="F70" s="352">
        <f t="shared" si="0"/>
        <v>100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ht="6.75" customHeight="1">
      <c r="A71" s="354"/>
      <c r="B71" s="624"/>
      <c r="C71" s="360"/>
      <c r="D71" s="360"/>
      <c r="E71" s="360"/>
      <c r="F71" s="352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ht="13.5" customHeight="1" thickBot="1">
      <c r="A72" s="338"/>
      <c r="B72" s="2"/>
      <c r="C72" s="66"/>
      <c r="D72" s="66"/>
      <c r="E72" s="66"/>
      <c r="F72" s="352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 ht="18" customHeight="1" thickBot="1">
      <c r="A73" s="363"/>
      <c r="B73" s="364" t="s">
        <v>48</v>
      </c>
      <c r="C73" s="365">
        <f>C14+C25</f>
        <v>136474</v>
      </c>
      <c r="D73" s="365">
        <f>D14+D25</f>
        <v>283182</v>
      </c>
      <c r="E73" s="365">
        <f>E14+E25</f>
        <v>161778.389</v>
      </c>
      <c r="F73" s="432">
        <f t="shared" si="0"/>
        <v>57.12876842454676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ht="19.5" customHeight="1">
      <c r="B74" s="395" t="s">
        <v>762</v>
      </c>
    </row>
    <row r="75" ht="8.25" customHeight="1"/>
    <row r="77" spans="2:5" ht="12.75">
      <c r="B77" s="159"/>
      <c r="C77" s="9"/>
      <c r="D77" s="9"/>
      <c r="E77" s="9"/>
    </row>
    <row r="78" spans="2:5" ht="12.75">
      <c r="B78" s="159"/>
      <c r="C78" s="9"/>
      <c r="D78" s="9"/>
      <c r="E78" s="9"/>
    </row>
    <row r="79" spans="2:5" ht="12.75">
      <c r="B79" s="159"/>
      <c r="C79" s="9"/>
      <c r="D79" s="9"/>
      <c r="E79" s="9"/>
    </row>
    <row r="80" spans="2:5" ht="12.75">
      <c r="B80" s="159"/>
      <c r="C80" s="9"/>
      <c r="D80" s="9"/>
      <c r="E80" s="9"/>
    </row>
  </sheetData>
  <sheetProtection/>
  <mergeCells count="6">
    <mergeCell ref="A5:F5"/>
    <mergeCell ref="A6:F6"/>
    <mergeCell ref="A7:F7"/>
    <mergeCell ref="G4:H4"/>
    <mergeCell ref="G5:H5"/>
    <mergeCell ref="G6:H6"/>
  </mergeCells>
  <printOptions horizontalCentered="1" verticalCentered="1"/>
  <pageMargins left="0.15748031496062992" right="0.2362204724409449" top="0.28" bottom="0.36" header="0.16" footer="0.23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9"/>
  <sheetViews>
    <sheetView zoomScaleSheetLayoutView="75" zoomScalePageLayoutView="0" workbookViewId="0" topLeftCell="A1">
      <selection activeCell="F4" sqref="F4"/>
    </sheetView>
  </sheetViews>
  <sheetFormatPr defaultColWidth="9.00390625" defaultRowHeight="12.75"/>
  <cols>
    <col min="1" max="1" width="7.375" style="14" customWidth="1"/>
    <col min="2" max="2" width="65.75390625" style="14" customWidth="1"/>
    <col min="3" max="5" width="11.75390625" style="14" customWidth="1"/>
    <col min="6" max="6" width="10.00390625" style="14" customWidth="1"/>
    <col min="7" max="16384" width="9.125" style="14" customWidth="1"/>
  </cols>
  <sheetData>
    <row r="2" spans="1:5" ht="12.75">
      <c r="A2" s="19"/>
      <c r="C2" s="49"/>
      <c r="D2" s="2306"/>
      <c r="E2" s="2306"/>
    </row>
    <row r="3" spans="3:6" ht="12.75">
      <c r="C3" s="49"/>
      <c r="D3" s="49"/>
      <c r="F3" s="543" t="s">
        <v>1268</v>
      </c>
    </row>
    <row r="4" spans="3:6" ht="12.75">
      <c r="C4" s="49"/>
      <c r="D4" s="49"/>
      <c r="F4" s="544" t="s">
        <v>71</v>
      </c>
    </row>
    <row r="5" spans="1:6" ht="15.75" hidden="1">
      <c r="A5" s="15"/>
      <c r="B5" s="15"/>
      <c r="C5" s="15"/>
      <c r="D5" s="15"/>
      <c r="F5" s="165" t="s">
        <v>977</v>
      </c>
    </row>
    <row r="6" spans="1:4" ht="15.75">
      <c r="A6" s="15"/>
      <c r="B6" s="15"/>
      <c r="C6" s="15"/>
      <c r="D6" s="15"/>
    </row>
    <row r="7" spans="1:4" ht="15.75">
      <c r="A7" s="2294"/>
      <c r="B7" s="2305"/>
      <c r="C7" s="52"/>
      <c r="D7" s="52"/>
    </row>
    <row r="8" spans="1:4" ht="15.75">
      <c r="A8" s="50"/>
      <c r="B8" s="50"/>
      <c r="C8" s="15"/>
      <c r="D8" s="15"/>
    </row>
    <row r="9" spans="1:6" ht="18.75">
      <c r="A9" s="2298" t="s">
        <v>804</v>
      </c>
      <c r="B9" s="2298"/>
      <c r="C9" s="2298"/>
      <c r="D9" s="2298"/>
      <c r="E9" s="2298"/>
      <c r="F9" s="2298"/>
    </row>
    <row r="10" spans="1:6" ht="18.75">
      <c r="A10" s="2298" t="s">
        <v>768</v>
      </c>
      <c r="B10" s="2298"/>
      <c r="C10" s="2298"/>
      <c r="D10" s="2298"/>
      <c r="E10" s="2298"/>
      <c r="F10" s="2298"/>
    </row>
    <row r="11" spans="1:6" ht="18.75">
      <c r="A11" s="2298"/>
      <c r="B11" s="2298"/>
      <c r="C11" s="2298"/>
      <c r="D11" s="2298"/>
      <c r="E11" s="2298"/>
      <c r="F11" s="2298"/>
    </row>
    <row r="12" spans="1:6" ht="18.75">
      <c r="A12" s="2304" t="s">
        <v>72</v>
      </c>
      <c r="B12" s="2304"/>
      <c r="C12" s="2304"/>
      <c r="D12" s="2304"/>
      <c r="E12" s="2304"/>
      <c r="F12" s="2304"/>
    </row>
    <row r="13" spans="1:4" ht="15.75">
      <c r="A13" s="48"/>
      <c r="B13" s="52"/>
      <c r="C13" s="52"/>
      <c r="D13" s="52"/>
    </row>
    <row r="14" spans="1:4" ht="15.75">
      <c r="A14" s="48"/>
      <c r="B14" s="52"/>
      <c r="C14" s="52"/>
      <c r="D14" s="52"/>
    </row>
    <row r="15" spans="1:4" ht="15.75">
      <c r="A15" s="50"/>
      <c r="B15" s="51"/>
      <c r="C15" s="53"/>
      <c r="D15" s="53"/>
    </row>
    <row r="16" spans="1:4" ht="15.75">
      <c r="A16" s="50"/>
      <c r="B16" s="50"/>
      <c r="C16" s="15"/>
      <c r="D16" s="15"/>
    </row>
    <row r="17" spans="1:2" ht="16.5" thickBot="1">
      <c r="A17" s="15"/>
      <c r="B17" s="15" t="s">
        <v>878</v>
      </c>
    </row>
    <row r="18" spans="1:6" ht="15.75">
      <c r="A18" s="376"/>
      <c r="B18" s="43"/>
      <c r="C18" s="1142" t="s">
        <v>802</v>
      </c>
      <c r="D18" s="991" t="s">
        <v>802</v>
      </c>
      <c r="E18" s="691"/>
      <c r="F18" s="100"/>
    </row>
    <row r="19" spans="1:6" ht="15.75">
      <c r="A19" s="378" t="s">
        <v>1050</v>
      </c>
      <c r="B19" s="44" t="s">
        <v>41</v>
      </c>
      <c r="C19" s="44" t="s">
        <v>50</v>
      </c>
      <c r="D19" s="1156" t="s">
        <v>490</v>
      </c>
      <c r="E19" s="694" t="s">
        <v>302</v>
      </c>
      <c r="F19" s="69" t="s">
        <v>302</v>
      </c>
    </row>
    <row r="20" spans="1:6" ht="16.5" thickBot="1">
      <c r="A20" s="377"/>
      <c r="B20" s="45"/>
      <c r="C20" s="1157" t="s">
        <v>4</v>
      </c>
      <c r="D20" s="1158" t="s">
        <v>4</v>
      </c>
      <c r="E20" s="695"/>
      <c r="F20" s="73" t="s">
        <v>304</v>
      </c>
    </row>
    <row r="21" spans="1:6" ht="15.75">
      <c r="A21" s="998">
        <v>1</v>
      </c>
      <c r="B21" s="1003">
        <v>2</v>
      </c>
      <c r="C21" s="1130">
        <v>3</v>
      </c>
      <c r="D21" s="1998">
        <v>4</v>
      </c>
      <c r="E21" s="1211">
        <v>5</v>
      </c>
      <c r="F21" s="1004">
        <v>6</v>
      </c>
    </row>
    <row r="22" spans="1:6" ht="12.75">
      <c r="A22" s="26"/>
      <c r="B22" s="62"/>
      <c r="C22" s="78"/>
      <c r="D22" s="167"/>
      <c r="E22" s="167"/>
      <c r="F22" s="169"/>
    </row>
    <row r="23" spans="1:6" ht="25.5" customHeight="1">
      <c r="A23" s="36" t="s">
        <v>174</v>
      </c>
      <c r="B23" s="366" t="s">
        <v>976</v>
      </c>
      <c r="C23" s="367">
        <f>SUM(C25:C29)</f>
        <v>250568</v>
      </c>
      <c r="D23" s="367">
        <f>SUM(D25:D29)</f>
        <v>21822.842</v>
      </c>
      <c r="E23" s="367">
        <f>SUM(E25:E29)</f>
        <v>21823</v>
      </c>
      <c r="F23" s="629">
        <v>0</v>
      </c>
    </row>
    <row r="24" spans="1:6" ht="15" customHeight="1">
      <c r="A24" s="39"/>
      <c r="B24" s="74"/>
      <c r="C24" s="47"/>
      <c r="D24" s="76"/>
      <c r="E24" s="76"/>
      <c r="F24" s="396"/>
    </row>
    <row r="25" spans="1:6" ht="42.75" customHeight="1">
      <c r="A25" s="1159">
        <v>1</v>
      </c>
      <c r="B25" s="775" t="s">
        <v>1031</v>
      </c>
      <c r="C25" s="786">
        <v>89068</v>
      </c>
      <c r="D25" s="786">
        <v>6488</v>
      </c>
      <c r="E25" s="786">
        <v>6488</v>
      </c>
      <c r="F25" s="787">
        <f>E25/D25*100</f>
        <v>100</v>
      </c>
    </row>
    <row r="26" spans="1:6" ht="42.75" customHeight="1">
      <c r="A26" s="1159">
        <v>2</v>
      </c>
      <c r="B26" s="775" t="s">
        <v>1032</v>
      </c>
      <c r="C26" s="786">
        <v>161500</v>
      </c>
      <c r="D26" s="786">
        <v>0</v>
      </c>
      <c r="E26" s="786">
        <v>0</v>
      </c>
      <c r="F26" s="787">
        <v>0</v>
      </c>
    </row>
    <row r="27" spans="1:6" ht="42.75" customHeight="1">
      <c r="A27" s="1159">
        <v>3</v>
      </c>
      <c r="B27" s="775" t="s">
        <v>1033</v>
      </c>
      <c r="C27" s="786">
        <v>0</v>
      </c>
      <c r="D27" s="786">
        <v>15334.842</v>
      </c>
      <c r="E27" s="786">
        <v>15335</v>
      </c>
      <c r="F27" s="787">
        <f>E27/D27*100</f>
        <v>100.00103033340675</v>
      </c>
    </row>
    <row r="28" spans="1:6" ht="42.75" customHeight="1" hidden="1">
      <c r="A28" s="788">
        <v>4</v>
      </c>
      <c r="B28" s="775" t="s">
        <v>119</v>
      </c>
      <c r="C28" s="786"/>
      <c r="D28" s="786"/>
      <c r="E28" s="786"/>
      <c r="F28" s="787">
        <v>0</v>
      </c>
    </row>
    <row r="29" spans="1:6" ht="42.75" customHeight="1" hidden="1">
      <c r="A29" s="788">
        <v>5</v>
      </c>
      <c r="B29" s="775" t="s">
        <v>933</v>
      </c>
      <c r="C29" s="786"/>
      <c r="D29" s="786"/>
      <c r="E29" s="786"/>
      <c r="F29" s="787" t="e">
        <f>E29/D29*100</f>
        <v>#DIV/0!</v>
      </c>
    </row>
    <row r="30" spans="1:6" ht="42.75" customHeight="1">
      <c r="A30" s="627" t="s">
        <v>457</v>
      </c>
      <c r="B30" s="628" t="s">
        <v>867</v>
      </c>
      <c r="C30" s="367">
        <f>SUM(C32:C33)</f>
        <v>0</v>
      </c>
      <c r="D30" s="367">
        <f>SUM(D32:D33)</f>
        <v>79.405</v>
      </c>
      <c r="E30" s="367">
        <f>SUM(E32:E33)</f>
        <v>79</v>
      </c>
      <c r="F30" s="629">
        <v>0</v>
      </c>
    </row>
    <row r="31" spans="1:6" ht="15" customHeight="1">
      <c r="A31" s="663"/>
      <c r="B31" s="660"/>
      <c r="C31" s="661"/>
      <c r="D31" s="661"/>
      <c r="E31" s="661"/>
      <c r="F31" s="662"/>
    </row>
    <row r="32" spans="1:6" ht="26.25" customHeight="1">
      <c r="A32" s="39">
        <v>1</v>
      </c>
      <c r="B32" s="626" t="s">
        <v>1034</v>
      </c>
      <c r="C32" s="76">
        <v>0</v>
      </c>
      <c r="D32" s="76">
        <v>79.405</v>
      </c>
      <c r="E32" s="76">
        <v>79</v>
      </c>
      <c r="F32" s="397">
        <f>E32/D32*100</f>
        <v>99.48995655185442</v>
      </c>
    </row>
    <row r="33" spans="1:6" ht="31.5" customHeight="1" hidden="1">
      <c r="A33" s="38">
        <v>5</v>
      </c>
      <c r="B33" s="776" t="s">
        <v>30</v>
      </c>
      <c r="C33" s="76"/>
      <c r="D33" s="76"/>
      <c r="E33" s="76"/>
      <c r="F33" s="397">
        <v>0</v>
      </c>
    </row>
    <row r="34" spans="1:6" ht="31.5" customHeight="1" thickBot="1">
      <c r="A34" s="40"/>
      <c r="B34" s="71"/>
      <c r="C34" s="76"/>
      <c r="D34" s="398"/>
      <c r="E34" s="398"/>
      <c r="F34" s="399"/>
    </row>
    <row r="35" spans="1:6" ht="24.75" customHeight="1" thickBot="1">
      <c r="A35" s="41"/>
      <c r="B35" s="42" t="s">
        <v>48</v>
      </c>
      <c r="C35" s="362">
        <f>C23+C30</f>
        <v>250568</v>
      </c>
      <c r="D35" s="362">
        <f>D23+D30</f>
        <v>21902.247</v>
      </c>
      <c r="E35" s="362">
        <f>E23+E30</f>
        <v>21902</v>
      </c>
      <c r="F35" s="400">
        <f>E35/D35*100</f>
        <v>99.99887226182776</v>
      </c>
    </row>
    <row r="36" ht="24" customHeight="1">
      <c r="B36" s="14" t="s">
        <v>762</v>
      </c>
    </row>
    <row r="38" spans="2:5" ht="12.75">
      <c r="B38" s="159"/>
      <c r="C38" s="11"/>
      <c r="D38" s="11"/>
      <c r="E38" s="11"/>
    </row>
    <row r="39" spans="2:5" ht="12.75">
      <c r="B39" s="159"/>
      <c r="C39" s="11"/>
      <c r="D39" s="11"/>
      <c r="E39" s="11"/>
    </row>
  </sheetData>
  <sheetProtection/>
  <mergeCells count="6">
    <mergeCell ref="A11:F11"/>
    <mergeCell ref="A12:F12"/>
    <mergeCell ref="A7:B7"/>
    <mergeCell ref="D2:E2"/>
    <mergeCell ref="A9:F9"/>
    <mergeCell ref="A10:F10"/>
  </mergeCells>
  <printOptions horizontalCentered="1" verticalCentered="1"/>
  <pageMargins left="0.17" right="0.17" top="0.15748031496062992" bottom="1.99" header="0.98" footer="0.34"/>
  <pageSetup horizontalDpi="300" verticalDpi="3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46"/>
  <sheetViews>
    <sheetView zoomScale="80" zoomScaleNormal="80" zoomScalePageLayoutView="0" workbookViewId="0" topLeftCell="A1">
      <selection activeCell="G2" sqref="G2"/>
    </sheetView>
  </sheetViews>
  <sheetFormatPr defaultColWidth="9.00390625" defaultRowHeight="12.75"/>
  <cols>
    <col min="1" max="1" width="8.375" style="557" customWidth="1"/>
    <col min="2" max="2" width="67.375" style="557" customWidth="1"/>
    <col min="3" max="3" width="17.00390625" style="557" hidden="1" customWidth="1"/>
    <col min="4" max="7" width="11.75390625" style="557" customWidth="1"/>
    <col min="8" max="16384" width="9.125" style="557" customWidth="1"/>
  </cols>
  <sheetData>
    <row r="2" spans="1:7" ht="12.75">
      <c r="A2" s="559"/>
      <c r="C2" s="939"/>
      <c r="D2" s="558"/>
      <c r="E2" s="558"/>
      <c r="G2" s="558" t="s">
        <v>1269</v>
      </c>
    </row>
    <row r="3" spans="3:7" ht="12.75">
      <c r="C3" s="939"/>
      <c r="D3" s="558"/>
      <c r="E3" s="558"/>
      <c r="G3" s="558" t="s">
        <v>71</v>
      </c>
    </row>
    <row r="4" spans="3:7" ht="12.75" hidden="1">
      <c r="C4" s="939"/>
      <c r="D4" s="939"/>
      <c r="E4" s="939"/>
      <c r="G4" s="560" t="s">
        <v>778</v>
      </c>
    </row>
    <row r="5" spans="3:5" ht="12.75">
      <c r="C5" s="939"/>
      <c r="D5" s="939"/>
      <c r="E5" s="939"/>
    </row>
    <row r="6" spans="1:5" ht="15.75">
      <c r="A6" s="940"/>
      <c r="B6" s="940"/>
      <c r="C6" s="940"/>
      <c r="D6" s="940"/>
      <c r="E6" s="940"/>
    </row>
    <row r="7" spans="1:5" ht="15.75">
      <c r="A7" s="940"/>
      <c r="B7" s="940"/>
      <c r="C7" s="940"/>
      <c r="D7" s="940"/>
      <c r="E7" s="940"/>
    </row>
    <row r="8" spans="1:5" ht="15.75">
      <c r="A8" s="2307"/>
      <c r="B8" s="2307"/>
      <c r="C8" s="941"/>
      <c r="D8" s="941"/>
      <c r="E8" s="941"/>
    </row>
    <row r="9" spans="1:5" ht="15.75">
      <c r="A9" s="942"/>
      <c r="B9" s="942"/>
      <c r="C9" s="940"/>
      <c r="D9" s="940"/>
      <c r="E9" s="940"/>
    </row>
    <row r="10" spans="1:7" ht="15.75">
      <c r="A10" s="2307" t="s">
        <v>805</v>
      </c>
      <c r="B10" s="2307"/>
      <c r="C10" s="2307"/>
      <c r="D10" s="2307"/>
      <c r="E10" s="2307"/>
      <c r="F10" s="2307"/>
      <c r="G10" s="2307"/>
    </row>
    <row r="11" spans="1:7" ht="15.75">
      <c r="A11" s="2307" t="s">
        <v>769</v>
      </c>
      <c r="B11" s="2307"/>
      <c r="C11" s="2307"/>
      <c r="D11" s="2307"/>
      <c r="E11" s="2307"/>
      <c r="F11" s="2307"/>
      <c r="G11" s="2307"/>
    </row>
    <row r="12" spans="1:7" ht="15.75">
      <c r="A12" s="936"/>
      <c r="B12" s="936"/>
      <c r="C12" s="936"/>
      <c r="D12" s="936"/>
      <c r="E12" s="936"/>
      <c r="F12" s="936"/>
      <c r="G12" s="936"/>
    </row>
    <row r="13" spans="1:7" ht="15.75">
      <c r="A13" s="2308" t="s">
        <v>72</v>
      </c>
      <c r="B13" s="2308"/>
      <c r="C13" s="2308"/>
      <c r="D13" s="2308"/>
      <c r="E13" s="2308"/>
      <c r="F13" s="2308"/>
      <c r="G13" s="2308"/>
    </row>
    <row r="14" spans="1:5" ht="15.75">
      <c r="A14" s="943"/>
      <c r="B14" s="941"/>
      <c r="C14" s="941"/>
      <c r="D14" s="941"/>
      <c r="E14" s="941"/>
    </row>
    <row r="15" spans="1:5" ht="15.75">
      <c r="A15" s="943"/>
      <c r="B15" s="941"/>
      <c r="C15" s="941"/>
      <c r="D15" s="941"/>
      <c r="E15" s="941"/>
    </row>
    <row r="16" spans="1:5" ht="15.75">
      <c r="A16" s="942"/>
      <c r="B16" s="936"/>
      <c r="C16" s="944"/>
      <c r="D16" s="944"/>
      <c r="E16" s="944"/>
    </row>
    <row r="17" spans="1:5" ht="15.75">
      <c r="A17" s="942"/>
      <c r="B17" s="942"/>
      <c r="C17" s="940"/>
      <c r="D17" s="940"/>
      <c r="E17" s="940"/>
    </row>
    <row r="18" spans="1:2" ht="16.5" thickBot="1">
      <c r="A18" s="940"/>
      <c r="B18" s="940" t="s">
        <v>878</v>
      </c>
    </row>
    <row r="19" spans="1:7" ht="15.75">
      <c r="A19" s="1160"/>
      <c r="B19" s="1160"/>
      <c r="C19" s="1161" t="s">
        <v>525</v>
      </c>
      <c r="D19" s="1162" t="s">
        <v>802</v>
      </c>
      <c r="E19" s="1163" t="s">
        <v>802</v>
      </c>
      <c r="F19" s="691"/>
      <c r="G19" s="100"/>
    </row>
    <row r="20" spans="1:7" ht="15.75">
      <c r="A20" s="1164" t="s">
        <v>1050</v>
      </c>
      <c r="B20" s="1164" t="s">
        <v>41</v>
      </c>
      <c r="C20" s="1165" t="s">
        <v>50</v>
      </c>
      <c r="D20" s="1166" t="s">
        <v>50</v>
      </c>
      <c r="E20" s="1167" t="s">
        <v>490</v>
      </c>
      <c r="F20" s="694" t="s">
        <v>302</v>
      </c>
      <c r="G20" s="69" t="s">
        <v>302</v>
      </c>
    </row>
    <row r="21" spans="1:7" ht="16.5" thickBot="1">
      <c r="A21" s="1168"/>
      <c r="B21" s="1168"/>
      <c r="C21" s="1169" t="s">
        <v>4</v>
      </c>
      <c r="D21" s="1170" t="s">
        <v>4</v>
      </c>
      <c r="E21" s="1171" t="s">
        <v>4</v>
      </c>
      <c r="F21" s="695"/>
      <c r="G21" s="73" t="s">
        <v>304</v>
      </c>
    </row>
    <row r="22" spans="1:7" ht="15.75">
      <c r="A22" s="998">
        <v>1</v>
      </c>
      <c r="B22" s="1003">
        <v>2</v>
      </c>
      <c r="C22" s="996">
        <v>3</v>
      </c>
      <c r="D22" s="1130">
        <v>3</v>
      </c>
      <c r="E22" s="1998">
        <v>4</v>
      </c>
      <c r="F22" s="1211">
        <v>5</v>
      </c>
      <c r="G22" s="1004">
        <v>6</v>
      </c>
    </row>
    <row r="23" spans="1:7" ht="12.75">
      <c r="A23" s="338"/>
      <c r="B23" s="945"/>
      <c r="C23" s="946"/>
      <c r="D23" s="78"/>
      <c r="E23" s="167"/>
      <c r="F23" s="167"/>
      <c r="G23" s="169"/>
    </row>
    <row r="24" spans="1:7" ht="31.5" customHeight="1">
      <c r="A24" s="953" t="s">
        <v>174</v>
      </c>
      <c r="B24" s="954" t="s">
        <v>770</v>
      </c>
      <c r="C24" s="955">
        <f>SUM(C25:C26)</f>
        <v>200</v>
      </c>
      <c r="D24" s="956">
        <f>SUM(D25:D26)</f>
        <v>200</v>
      </c>
      <c r="E24" s="957">
        <f>SUM(E26)</f>
        <v>200</v>
      </c>
      <c r="F24" s="957">
        <f>SUM(F26)</f>
        <v>0</v>
      </c>
      <c r="G24" s="952">
        <f>F24/E24*100</f>
        <v>0</v>
      </c>
    </row>
    <row r="25" spans="1:7" ht="16.5">
      <c r="A25" s="958"/>
      <c r="B25" s="959"/>
      <c r="C25" s="960"/>
      <c r="D25" s="961"/>
      <c r="E25" s="962"/>
      <c r="F25" s="962"/>
      <c r="G25" s="963"/>
    </row>
    <row r="26" spans="1:7" s="947" customFormat="1" ht="30" customHeight="1">
      <c r="A26" s="964">
        <v>1</v>
      </c>
      <c r="B26" s="965" t="s">
        <v>647</v>
      </c>
      <c r="C26" s="966">
        <v>200</v>
      </c>
      <c r="D26" s="988">
        <v>200</v>
      </c>
      <c r="E26" s="989">
        <v>200</v>
      </c>
      <c r="F26" s="989">
        <v>0</v>
      </c>
      <c r="G26" s="990">
        <f>F26/E26*100</f>
        <v>0</v>
      </c>
    </row>
    <row r="27" spans="1:7" s="947" customFormat="1" ht="30" customHeight="1">
      <c r="A27" s="958"/>
      <c r="B27" s="959"/>
      <c r="C27" s="960"/>
      <c r="D27" s="967"/>
      <c r="E27" s="968"/>
      <c r="F27" s="968"/>
      <c r="G27" s="969"/>
    </row>
    <row r="28" spans="1:7" s="947" customFormat="1" ht="30" customHeight="1">
      <c r="A28" s="953" t="s">
        <v>457</v>
      </c>
      <c r="B28" s="954" t="s">
        <v>771</v>
      </c>
      <c r="C28" s="970">
        <f>SUM(C30:C31)</f>
        <v>25000</v>
      </c>
      <c r="D28" s="956">
        <f>SUM(D30:D31)</f>
        <v>10000</v>
      </c>
      <c r="E28" s="957">
        <f>SUM(E30:E31)</f>
        <v>12000</v>
      </c>
      <c r="F28" s="957">
        <f>SUM(F30:F31)</f>
        <v>9360</v>
      </c>
      <c r="G28" s="952">
        <f>F28/E28*100</f>
        <v>78</v>
      </c>
    </row>
    <row r="29" spans="1:7" s="947" customFormat="1" ht="30" customHeight="1">
      <c r="A29" s="971"/>
      <c r="B29" s="972"/>
      <c r="C29" s="973"/>
      <c r="D29" s="973"/>
      <c r="E29" s="974"/>
      <c r="F29" s="975"/>
      <c r="G29" s="976"/>
    </row>
    <row r="30" spans="1:7" s="947" customFormat="1" ht="30" customHeight="1">
      <c r="A30" s="964">
        <v>1</v>
      </c>
      <c r="B30" s="965" t="s">
        <v>858</v>
      </c>
      <c r="C30" s="966">
        <v>10000</v>
      </c>
      <c r="D30" s="966">
        <v>3000</v>
      </c>
      <c r="E30" s="977">
        <v>3000</v>
      </c>
      <c r="F30" s="987">
        <v>2360</v>
      </c>
      <c r="G30" s="990">
        <f>F30/E30*100</f>
        <v>78.66666666666666</v>
      </c>
    </row>
    <row r="31" spans="1:7" s="947" customFormat="1" ht="30" customHeight="1">
      <c r="A31" s="964">
        <v>2</v>
      </c>
      <c r="B31" s="965" t="s">
        <v>859</v>
      </c>
      <c r="C31" s="966">
        <v>15000</v>
      </c>
      <c r="D31" s="966">
        <v>7000</v>
      </c>
      <c r="E31" s="977">
        <v>9000</v>
      </c>
      <c r="F31" s="987">
        <v>7000</v>
      </c>
      <c r="G31" s="990">
        <f>F31/E31*100</f>
        <v>77.77777777777779</v>
      </c>
    </row>
    <row r="32" spans="1:7" s="947" customFormat="1" ht="30" customHeight="1" thickBot="1">
      <c r="A32" s="958"/>
      <c r="B32" s="959"/>
      <c r="C32" s="960"/>
      <c r="D32" s="960"/>
      <c r="E32" s="978"/>
      <c r="F32" s="979"/>
      <c r="G32" s="980"/>
    </row>
    <row r="33" spans="1:7" ht="30" customHeight="1" thickBot="1" thickTop="1">
      <c r="A33" s="981" t="s">
        <v>1051</v>
      </c>
      <c r="B33" s="948" t="s">
        <v>772</v>
      </c>
      <c r="C33" s="949">
        <f>C24+C28</f>
        <v>25200</v>
      </c>
      <c r="D33" s="949">
        <f>D24+D28</f>
        <v>10200</v>
      </c>
      <c r="E33" s="950">
        <f>E24+E28</f>
        <v>12200</v>
      </c>
      <c r="F33" s="950">
        <f>F24+F28</f>
        <v>9360</v>
      </c>
      <c r="G33" s="951">
        <f>F33/E33*100</f>
        <v>76.72131147540983</v>
      </c>
    </row>
    <row r="34" spans="1:7" ht="30" customHeight="1" thickTop="1">
      <c r="A34" s="971"/>
      <c r="B34" s="982"/>
      <c r="C34" s="983"/>
      <c r="D34" s="983"/>
      <c r="E34" s="984"/>
      <c r="F34" s="975"/>
      <c r="G34" s="976"/>
    </row>
    <row r="35" spans="1:7" ht="30" customHeight="1">
      <c r="A35" s="953" t="s">
        <v>174</v>
      </c>
      <c r="B35" s="954" t="s">
        <v>773</v>
      </c>
      <c r="C35" s="956">
        <f>SUM(C36:C37)</f>
        <v>0</v>
      </c>
      <c r="D35" s="956">
        <f>SUM(D36:D37)</f>
        <v>0</v>
      </c>
      <c r="E35" s="957">
        <f>SUM(E36:E37)</f>
        <v>0</v>
      </c>
      <c r="F35" s="957">
        <f>SUM(F36:F37)</f>
        <v>0</v>
      </c>
      <c r="G35" s="952">
        <v>0</v>
      </c>
    </row>
    <row r="36" spans="1:7" ht="30" customHeight="1">
      <c r="A36" s="964"/>
      <c r="B36" s="965"/>
      <c r="C36" s="966"/>
      <c r="D36" s="966"/>
      <c r="E36" s="985"/>
      <c r="F36" s="975"/>
      <c r="G36" s="976"/>
    </row>
    <row r="37" spans="1:7" ht="30" customHeight="1">
      <c r="A37" s="964">
        <v>1</v>
      </c>
      <c r="B37" s="965" t="s">
        <v>774</v>
      </c>
      <c r="C37" s="966"/>
      <c r="D37" s="966"/>
      <c r="E37" s="977">
        <v>0</v>
      </c>
      <c r="F37" s="987">
        <v>0</v>
      </c>
      <c r="G37" s="986">
        <v>0</v>
      </c>
    </row>
    <row r="38" spans="1:7" ht="30" customHeight="1">
      <c r="A38" s="964"/>
      <c r="B38" s="965"/>
      <c r="C38" s="983"/>
      <c r="D38" s="983"/>
      <c r="E38" s="984"/>
      <c r="F38" s="975"/>
      <c r="G38" s="976"/>
    </row>
    <row r="39" spans="1:7" ht="30" customHeight="1">
      <c r="A39" s="953" t="s">
        <v>457</v>
      </c>
      <c r="B39" s="954" t="s">
        <v>775</v>
      </c>
      <c r="C39" s="956">
        <f>SUM(C40:C43)</f>
        <v>34000</v>
      </c>
      <c r="D39" s="956">
        <f>SUM(D40:D43)</f>
        <v>24500</v>
      </c>
      <c r="E39" s="957">
        <f>SUM(E40:E43)</f>
        <v>28360.09</v>
      </c>
      <c r="F39" s="957">
        <f>SUM(F40:F43)</f>
        <v>28905</v>
      </c>
      <c r="G39" s="952">
        <f>F39/E39*100</f>
        <v>101.92139728752623</v>
      </c>
    </row>
    <row r="40" spans="1:7" ht="30" customHeight="1">
      <c r="A40" s="964">
        <v>1</v>
      </c>
      <c r="B40" s="965" t="s">
        <v>868</v>
      </c>
      <c r="C40" s="966">
        <v>25000</v>
      </c>
      <c r="D40" s="966">
        <v>20000</v>
      </c>
      <c r="E40" s="977">
        <v>23860.09</v>
      </c>
      <c r="F40" s="1174">
        <v>23860</v>
      </c>
      <c r="G40" s="986">
        <f>F40/E40*100</f>
        <v>99.99962280108751</v>
      </c>
    </row>
    <row r="41" spans="1:7" ht="30" customHeight="1">
      <c r="A41" s="964">
        <v>2</v>
      </c>
      <c r="B41" s="965" t="s">
        <v>869</v>
      </c>
      <c r="C41" s="966">
        <v>7500</v>
      </c>
      <c r="D41" s="966">
        <v>3000</v>
      </c>
      <c r="E41" s="977">
        <v>3000</v>
      </c>
      <c r="F41" s="1174">
        <v>3545</v>
      </c>
      <c r="G41" s="986">
        <f>F41/E41*100</f>
        <v>118.16666666666666</v>
      </c>
    </row>
    <row r="42" spans="1:7" ht="30" customHeight="1">
      <c r="A42" s="964">
        <v>3</v>
      </c>
      <c r="B42" s="965" t="s">
        <v>870</v>
      </c>
      <c r="C42" s="966">
        <v>1500</v>
      </c>
      <c r="D42" s="966">
        <v>1500</v>
      </c>
      <c r="E42" s="977">
        <v>1500</v>
      </c>
      <c r="F42" s="1174">
        <v>1500</v>
      </c>
      <c r="G42" s="986">
        <f>F42/E42*100</f>
        <v>100</v>
      </c>
    </row>
    <row r="43" spans="1:7" ht="24.75" customHeight="1" hidden="1">
      <c r="A43" s="971"/>
      <c r="B43" s="982" t="s">
        <v>776</v>
      </c>
      <c r="C43" s="983"/>
      <c r="D43" s="983"/>
      <c r="E43" s="984">
        <v>0</v>
      </c>
      <c r="F43" s="975"/>
      <c r="G43" s="976"/>
    </row>
    <row r="44" spans="1:7" ht="30" customHeight="1" thickBot="1">
      <c r="A44" s="971"/>
      <c r="B44" s="982"/>
      <c r="C44" s="983"/>
      <c r="D44" s="983"/>
      <c r="E44" s="984"/>
      <c r="F44" s="975"/>
      <c r="G44" s="976"/>
    </row>
    <row r="45" spans="1:7" ht="30" customHeight="1" thickBot="1" thickTop="1">
      <c r="A45" s="981" t="s">
        <v>1052</v>
      </c>
      <c r="B45" s="948" t="s">
        <v>777</v>
      </c>
      <c r="C45" s="949">
        <f>C35+C39</f>
        <v>34000</v>
      </c>
      <c r="D45" s="949">
        <f>D35+D39</f>
        <v>24500</v>
      </c>
      <c r="E45" s="950">
        <f>E35+E39</f>
        <v>28360.09</v>
      </c>
      <c r="F45" s="950">
        <f>F35+F39</f>
        <v>28905</v>
      </c>
      <c r="G45" s="951">
        <f>F45/E45*100</f>
        <v>101.92139728752623</v>
      </c>
    </row>
    <row r="46" ht="23.25" customHeight="1" thickTop="1">
      <c r="B46" s="14" t="s">
        <v>762</v>
      </c>
    </row>
  </sheetData>
  <sheetProtection/>
  <mergeCells count="4">
    <mergeCell ref="A8:B8"/>
    <mergeCell ref="A10:G10"/>
    <mergeCell ref="A11:G11"/>
    <mergeCell ref="A13:G13"/>
  </mergeCells>
  <printOptions horizontalCentered="1" verticalCentered="1"/>
  <pageMargins left="0.15763888888888888" right="0.15763888888888888" top="0.48" bottom="0.66" header="0.27" footer="0.29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P23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.75390625" style="387" customWidth="1"/>
    <col min="2" max="2" width="66.75390625" style="1504" customWidth="1"/>
    <col min="3" max="3" width="12.75390625" style="1505" customWidth="1"/>
    <col min="4" max="4" width="12.75390625" style="1504" customWidth="1"/>
    <col min="5" max="6" width="12.75390625" style="388" customWidth="1"/>
    <col min="7" max="42" width="9.125" style="388" customWidth="1"/>
    <col min="43" max="16384" width="9.125" style="1504" customWidth="1"/>
  </cols>
  <sheetData>
    <row r="2" spans="4:6" ht="12.75">
      <c r="D2" s="558"/>
      <c r="F2" s="558" t="s">
        <v>1270</v>
      </c>
    </row>
    <row r="3" spans="4:6" ht="12.75">
      <c r="D3" s="558"/>
      <c r="F3" s="558" t="s">
        <v>71</v>
      </c>
    </row>
    <row r="4" spans="4:6" ht="12.75" hidden="1">
      <c r="D4" s="560"/>
      <c r="F4" s="560" t="s">
        <v>688</v>
      </c>
    </row>
    <row r="5" ht="18" customHeight="1"/>
    <row r="6" spans="1:6" ht="16.5">
      <c r="A6" s="2309" t="s">
        <v>806</v>
      </c>
      <c r="B6" s="2309"/>
      <c r="C6" s="2309"/>
      <c r="D6" s="2309"/>
      <c r="E6" s="2309"/>
      <c r="F6" s="2309"/>
    </row>
    <row r="7" spans="1:6" ht="12.75">
      <c r="A7" s="2310" t="s">
        <v>546</v>
      </c>
      <c r="B7" s="2310"/>
      <c r="C7" s="2310"/>
      <c r="D7" s="2310"/>
      <c r="E7" s="2310"/>
      <c r="F7" s="2310"/>
    </row>
    <row r="8" ht="21" customHeight="1" thickBot="1"/>
    <row r="9" spans="1:8" ht="15" customHeight="1">
      <c r="A9" s="1506"/>
      <c r="B9" s="1507"/>
      <c r="C9" s="991" t="s">
        <v>802</v>
      </c>
      <c r="D9" s="991" t="s">
        <v>802</v>
      </c>
      <c r="E9" s="634"/>
      <c r="F9" s="79"/>
      <c r="G9" s="944"/>
      <c r="H9" s="944"/>
    </row>
    <row r="10" spans="1:8" ht="15" customHeight="1">
      <c r="A10" s="1510" t="s">
        <v>315</v>
      </c>
      <c r="B10" s="1511" t="s">
        <v>494</v>
      </c>
      <c r="C10" s="992" t="s">
        <v>50</v>
      </c>
      <c r="D10" s="992" t="s">
        <v>490</v>
      </c>
      <c r="E10" s="635" t="s">
        <v>302</v>
      </c>
      <c r="F10" s="630" t="s">
        <v>302</v>
      </c>
      <c r="G10" s="944"/>
      <c r="H10" s="944"/>
    </row>
    <row r="11" spans="1:8" ht="15" customHeight="1" thickBot="1">
      <c r="A11" s="1513" t="s">
        <v>316</v>
      </c>
      <c r="B11" s="1514"/>
      <c r="C11" s="993" t="s">
        <v>4</v>
      </c>
      <c r="D11" s="993" t="s">
        <v>4</v>
      </c>
      <c r="E11" s="695"/>
      <c r="F11" s="636" t="s">
        <v>304</v>
      </c>
      <c r="G11" s="944"/>
      <c r="H11" s="944"/>
    </row>
    <row r="12" spans="1:8" ht="15" customHeight="1" thickBot="1">
      <c r="A12" s="1517">
        <v>1</v>
      </c>
      <c r="B12" s="1517">
        <v>2</v>
      </c>
      <c r="C12" s="1252">
        <v>3</v>
      </c>
      <c r="D12" s="1252">
        <v>4</v>
      </c>
      <c r="E12" s="1253">
        <v>5</v>
      </c>
      <c r="F12" s="1254">
        <v>6</v>
      </c>
      <c r="G12" s="944"/>
      <c r="H12" s="944"/>
    </row>
    <row r="13" spans="1:8" ht="7.5" customHeight="1">
      <c r="A13" s="1518"/>
      <c r="B13" s="1519"/>
      <c r="C13" s="1520"/>
      <c r="D13" s="1521"/>
      <c r="E13" s="1521"/>
      <c r="F13" s="1521"/>
      <c r="G13" s="944"/>
      <c r="H13" s="944"/>
    </row>
    <row r="14" spans="1:8" ht="15" customHeight="1">
      <c r="A14" s="1522" t="s">
        <v>174</v>
      </c>
      <c r="B14" s="1523" t="s">
        <v>843</v>
      </c>
      <c r="C14" s="1524"/>
      <c r="D14" s="1525"/>
      <c r="E14" s="1525"/>
      <c r="F14" s="1525"/>
      <c r="G14" s="944"/>
      <c r="H14" s="944"/>
    </row>
    <row r="15" spans="1:8" ht="7.5" customHeight="1">
      <c r="A15" s="1522"/>
      <c r="B15" s="1523"/>
      <c r="C15" s="1524"/>
      <c r="D15" s="1526"/>
      <c r="E15" s="1526"/>
      <c r="F15" s="1526"/>
      <c r="G15" s="944"/>
      <c r="H15" s="944"/>
    </row>
    <row r="16" spans="1:8" ht="15" customHeight="1">
      <c r="A16" s="1527" t="s">
        <v>1051</v>
      </c>
      <c r="B16" s="1528" t="s">
        <v>655</v>
      </c>
      <c r="C16" s="1524"/>
      <c r="D16" s="1526"/>
      <c r="E16" s="1526"/>
      <c r="F16" s="1526"/>
      <c r="G16" s="944"/>
      <c r="H16" s="944"/>
    </row>
    <row r="17" spans="1:8" ht="4.5" customHeight="1">
      <c r="A17" s="1527"/>
      <c r="B17" s="1528"/>
      <c r="C17" s="1524"/>
      <c r="D17" s="1526"/>
      <c r="E17" s="1526"/>
      <c r="F17" s="1526"/>
      <c r="G17" s="944"/>
      <c r="H17" s="944"/>
    </row>
    <row r="18" spans="1:8" ht="15" customHeight="1">
      <c r="A18" s="1529">
        <v>1</v>
      </c>
      <c r="B18" s="1530" t="s">
        <v>656</v>
      </c>
      <c r="C18" s="1524"/>
      <c r="D18" s="1526"/>
      <c r="E18" s="1526"/>
      <c r="F18" s="1526"/>
      <c r="G18" s="944"/>
      <c r="H18" s="944"/>
    </row>
    <row r="19" spans="1:8" ht="9.75" customHeight="1" hidden="1">
      <c r="A19" s="1527"/>
      <c r="B19" s="1528"/>
      <c r="C19" s="1524"/>
      <c r="D19" s="1526"/>
      <c r="E19" s="1526"/>
      <c r="F19" s="1526"/>
      <c r="G19" s="944"/>
      <c r="H19" s="944"/>
    </row>
    <row r="20" spans="1:8" ht="15" customHeight="1">
      <c r="A20" s="1529">
        <v>2</v>
      </c>
      <c r="B20" s="1530" t="s">
        <v>397</v>
      </c>
      <c r="C20" s="1524"/>
      <c r="D20" s="1526"/>
      <c r="E20" s="1526"/>
      <c r="F20" s="1526"/>
      <c r="G20" s="944"/>
      <c r="H20" s="944"/>
    </row>
    <row r="21" spans="1:8" ht="9.75" customHeight="1" hidden="1">
      <c r="A21" s="1527"/>
      <c r="B21" s="1528"/>
      <c r="C21" s="1524"/>
      <c r="D21" s="1526"/>
      <c r="E21" s="1526"/>
      <c r="F21" s="1526"/>
      <c r="G21" s="944"/>
      <c r="H21" s="944"/>
    </row>
    <row r="22" spans="1:8" ht="15" customHeight="1">
      <c r="A22" s="1529">
        <v>3</v>
      </c>
      <c r="B22" s="1530" t="s">
        <v>1085</v>
      </c>
      <c r="C22" s="1524"/>
      <c r="D22" s="1526"/>
      <c r="E22" s="1526"/>
      <c r="F22" s="1526"/>
      <c r="G22" s="944"/>
      <c r="H22" s="944"/>
    </row>
    <row r="23" spans="1:8" ht="9.75" customHeight="1" hidden="1">
      <c r="A23" s="1527"/>
      <c r="B23" s="1528"/>
      <c r="C23" s="1524"/>
      <c r="D23" s="1526"/>
      <c r="E23" s="1526"/>
      <c r="F23" s="1526"/>
      <c r="G23" s="944"/>
      <c r="H23" s="944"/>
    </row>
    <row r="24" spans="1:8" ht="15" customHeight="1">
      <c r="A24" s="1529">
        <v>4</v>
      </c>
      <c r="B24" s="1530" t="s">
        <v>657</v>
      </c>
      <c r="C24" s="1524"/>
      <c r="D24" s="1526"/>
      <c r="E24" s="1526"/>
      <c r="F24" s="1526"/>
      <c r="G24" s="944"/>
      <c r="H24" s="944"/>
    </row>
    <row r="25" spans="1:8" ht="9.75" customHeight="1" hidden="1">
      <c r="A25" s="1518"/>
      <c r="B25" s="1530"/>
      <c r="C25" s="1524"/>
      <c r="D25" s="1526"/>
      <c r="E25" s="1526"/>
      <c r="F25" s="1526"/>
      <c r="G25" s="944"/>
      <c r="H25" s="944"/>
    </row>
    <row r="26" spans="1:8" ht="15" customHeight="1">
      <c r="A26" s="1529">
        <v>5</v>
      </c>
      <c r="B26" s="1530" t="s">
        <v>658</v>
      </c>
      <c r="C26" s="1524"/>
      <c r="D26" s="1526"/>
      <c r="E26" s="1526"/>
      <c r="F26" s="1526"/>
      <c r="G26" s="944"/>
      <c r="H26" s="944"/>
    </row>
    <row r="27" spans="1:8" ht="9.75" customHeight="1" hidden="1">
      <c r="A27" s="1518"/>
      <c r="B27" s="1530"/>
      <c r="C27" s="1524"/>
      <c r="D27" s="1526"/>
      <c r="E27" s="1526"/>
      <c r="F27" s="1526"/>
      <c r="G27" s="944"/>
      <c r="H27" s="944"/>
    </row>
    <row r="28" spans="1:8" ht="15" customHeight="1">
      <c r="A28" s="1529">
        <v>6</v>
      </c>
      <c r="B28" s="1530" t="s">
        <v>1089</v>
      </c>
      <c r="C28" s="1524"/>
      <c r="D28" s="1526"/>
      <c r="E28" s="1526"/>
      <c r="F28" s="1526"/>
      <c r="G28" s="944"/>
      <c r="H28" s="944"/>
    </row>
    <row r="29" spans="1:8" ht="9.75" customHeight="1" hidden="1">
      <c r="A29" s="1527"/>
      <c r="B29" s="1528"/>
      <c r="C29" s="1524"/>
      <c r="D29" s="1526"/>
      <c r="E29" s="1526"/>
      <c r="F29" s="1526"/>
      <c r="G29" s="944"/>
      <c r="H29" s="944"/>
    </row>
    <row r="30" spans="1:8" ht="15" customHeight="1">
      <c r="A30" s="1529">
        <v>7</v>
      </c>
      <c r="B30" s="1530" t="s">
        <v>1090</v>
      </c>
      <c r="C30" s="1524"/>
      <c r="D30" s="1526"/>
      <c r="E30" s="1526"/>
      <c r="F30" s="1526"/>
      <c r="G30" s="944"/>
      <c r="H30" s="944"/>
    </row>
    <row r="31" spans="1:8" ht="9.75" customHeight="1" hidden="1">
      <c r="A31" s="1527"/>
      <c r="B31" s="1528"/>
      <c r="C31" s="1524"/>
      <c r="D31" s="1526"/>
      <c r="E31" s="1526"/>
      <c r="F31" s="1526"/>
      <c r="G31" s="944"/>
      <c r="H31" s="944"/>
    </row>
    <row r="32" spans="1:8" ht="15" customHeight="1">
      <c r="A32" s="1529">
        <v>8</v>
      </c>
      <c r="B32" s="1530" t="s">
        <v>659</v>
      </c>
      <c r="C32" s="1524"/>
      <c r="D32" s="1526"/>
      <c r="E32" s="1526"/>
      <c r="F32" s="1526"/>
      <c r="G32" s="944"/>
      <c r="H32" s="944"/>
    </row>
    <row r="33" spans="1:8" ht="9.75" customHeight="1" hidden="1">
      <c r="A33" s="1527"/>
      <c r="B33" s="1528"/>
      <c r="C33" s="1524"/>
      <c r="D33" s="1526"/>
      <c r="E33" s="1526"/>
      <c r="F33" s="1526"/>
      <c r="G33" s="944"/>
      <c r="H33" s="944"/>
    </row>
    <row r="34" spans="1:8" ht="15" customHeight="1">
      <c r="A34" s="1529">
        <v>9</v>
      </c>
      <c r="B34" s="1530" t="s">
        <v>1091</v>
      </c>
      <c r="C34" s="1524"/>
      <c r="D34" s="1526"/>
      <c r="E34" s="1526"/>
      <c r="F34" s="1526"/>
      <c r="G34" s="944"/>
      <c r="H34" s="944"/>
    </row>
    <row r="35" spans="1:8" ht="9.75" customHeight="1" hidden="1">
      <c r="A35" s="1529"/>
      <c r="B35" s="1530"/>
      <c r="C35" s="1524"/>
      <c r="D35" s="1526"/>
      <c r="E35" s="1526"/>
      <c r="F35" s="1526"/>
      <c r="G35" s="944"/>
      <c r="H35" s="944"/>
    </row>
    <row r="36" spans="1:8" ht="15" customHeight="1">
      <c r="A36" s="1529">
        <v>10</v>
      </c>
      <c r="B36" s="1530" t="s">
        <v>660</v>
      </c>
      <c r="C36" s="1524"/>
      <c r="D36" s="1526"/>
      <c r="E36" s="1526"/>
      <c r="F36" s="1526"/>
      <c r="G36" s="944"/>
      <c r="H36" s="944"/>
    </row>
    <row r="37" spans="1:8" ht="4.5" customHeight="1">
      <c r="A37" s="1529"/>
      <c r="B37" s="1530"/>
      <c r="C37" s="1524"/>
      <c r="D37" s="1526"/>
      <c r="E37" s="1526"/>
      <c r="F37" s="1526"/>
      <c r="G37" s="944"/>
      <c r="H37" s="944"/>
    </row>
    <row r="38" spans="1:8" ht="15" customHeight="1">
      <c r="A38" s="1529">
        <v>11</v>
      </c>
      <c r="B38" s="1530" t="s">
        <v>1092</v>
      </c>
      <c r="C38" s="1524"/>
      <c r="D38" s="1526"/>
      <c r="E38" s="1526"/>
      <c r="F38" s="1526"/>
      <c r="G38" s="944"/>
      <c r="H38" s="944"/>
    </row>
    <row r="39" spans="1:8" ht="9.75" customHeight="1" hidden="1">
      <c r="A39" s="1522"/>
      <c r="B39" s="1519"/>
      <c r="C39" s="1524"/>
      <c r="D39" s="1526"/>
      <c r="E39" s="1526"/>
      <c r="F39" s="1526"/>
      <c r="G39" s="944"/>
      <c r="H39" s="944"/>
    </row>
    <row r="40" spans="1:8" ht="15" customHeight="1">
      <c r="A40" s="1518" t="s">
        <v>171</v>
      </c>
      <c r="B40" s="1532" t="s">
        <v>872</v>
      </c>
      <c r="C40" s="1533">
        <v>12700</v>
      </c>
      <c r="D40" s="1534">
        <v>12700</v>
      </c>
      <c r="E40" s="1534">
        <v>7369.863</v>
      </c>
      <c r="F40" s="401">
        <f>E40/D40*100</f>
        <v>58.03041732283465</v>
      </c>
      <c r="G40" s="944"/>
      <c r="H40" s="944"/>
    </row>
    <row r="41" spans="1:8" ht="15" customHeight="1">
      <c r="A41" s="1518" t="s">
        <v>529</v>
      </c>
      <c r="B41" s="1532" t="s">
        <v>873</v>
      </c>
      <c r="C41" s="1533">
        <v>1270</v>
      </c>
      <c r="D41" s="1534">
        <v>1270</v>
      </c>
      <c r="E41" s="1534">
        <v>0</v>
      </c>
      <c r="F41" s="401">
        <f>E41/D41*100</f>
        <v>0</v>
      </c>
      <c r="G41" s="944"/>
      <c r="H41" s="944"/>
    </row>
    <row r="42" spans="1:8" ht="15" customHeight="1">
      <c r="A42" s="1518" t="s">
        <v>1125</v>
      </c>
      <c r="B42" s="1532" t="s">
        <v>661</v>
      </c>
      <c r="C42" s="1533">
        <v>12700</v>
      </c>
      <c r="D42" s="1534">
        <v>5438</v>
      </c>
      <c r="E42" s="1534">
        <v>0</v>
      </c>
      <c r="F42" s="401">
        <f>E42/D42*100</f>
        <v>0</v>
      </c>
      <c r="G42" s="944"/>
      <c r="H42" s="944"/>
    </row>
    <row r="43" spans="1:8" ht="15" customHeight="1">
      <c r="A43" s="1518" t="s">
        <v>1109</v>
      </c>
      <c r="B43" s="1532" t="s">
        <v>871</v>
      </c>
      <c r="C43" s="1533">
        <v>0</v>
      </c>
      <c r="D43" s="1534">
        <v>0</v>
      </c>
      <c r="E43" s="1534">
        <v>0</v>
      </c>
      <c r="F43" s="401">
        <v>0</v>
      </c>
      <c r="G43" s="944"/>
      <c r="H43" s="944"/>
    </row>
    <row r="44" spans="1:8" ht="15" customHeight="1">
      <c r="A44" s="1518" t="s">
        <v>307</v>
      </c>
      <c r="B44" s="1532" t="s">
        <v>842</v>
      </c>
      <c r="C44" s="1533">
        <v>0</v>
      </c>
      <c r="D44" s="1534">
        <v>750</v>
      </c>
      <c r="E44" s="1534">
        <v>749.813</v>
      </c>
      <c r="F44" s="401">
        <f>E44/D44*100</f>
        <v>99.97506666666666</v>
      </c>
      <c r="G44" s="944"/>
      <c r="H44" s="944"/>
    </row>
    <row r="45" spans="1:8" ht="15" customHeight="1" hidden="1">
      <c r="A45" s="1165">
        <v>6</v>
      </c>
      <c r="B45" s="1532" t="s">
        <v>874</v>
      </c>
      <c r="C45" s="1533">
        <v>0</v>
      </c>
      <c r="D45" s="1534">
        <v>0</v>
      </c>
      <c r="E45" s="1534">
        <v>0</v>
      </c>
      <c r="F45" s="1534">
        <v>0</v>
      </c>
      <c r="G45" s="944"/>
      <c r="H45" s="944"/>
    </row>
    <row r="46" spans="1:8" ht="15" customHeight="1" hidden="1">
      <c r="A46" s="1535">
        <v>7</v>
      </c>
      <c r="B46" s="1532" t="s">
        <v>875</v>
      </c>
      <c r="C46" s="1533">
        <v>0</v>
      </c>
      <c r="D46" s="1534">
        <v>0</v>
      </c>
      <c r="E46" s="1534">
        <v>0</v>
      </c>
      <c r="F46" s="1534">
        <v>0</v>
      </c>
      <c r="G46" s="944"/>
      <c r="H46" s="944"/>
    </row>
    <row r="47" spans="1:8" ht="9.75" customHeight="1" hidden="1" thickBot="1">
      <c r="A47" s="1535"/>
      <c r="B47" s="1532"/>
      <c r="C47" s="1533"/>
      <c r="D47" s="1534"/>
      <c r="E47" s="1534"/>
      <c r="F47" s="1534"/>
      <c r="G47" s="944"/>
      <c r="H47" s="944"/>
    </row>
    <row r="48" spans="1:8" ht="15" customHeight="1">
      <c r="A48" s="1535"/>
      <c r="B48" s="1530" t="s">
        <v>662</v>
      </c>
      <c r="C48" s="1536">
        <f>SUM(C40:C46)</f>
        <v>26670</v>
      </c>
      <c r="D48" s="1537">
        <f>SUM(D40:D46)</f>
        <v>20158</v>
      </c>
      <c r="E48" s="1537">
        <f>SUM(E40:E46)</f>
        <v>8119.676</v>
      </c>
      <c r="F48" s="1551">
        <f>E48/D48*100</f>
        <v>40.2801666832027</v>
      </c>
      <c r="G48" s="944"/>
      <c r="H48" s="944"/>
    </row>
    <row r="49" spans="1:8" ht="4.5" customHeight="1">
      <c r="A49" s="1535"/>
      <c r="B49" s="1519"/>
      <c r="C49" s="1524"/>
      <c r="D49" s="1526"/>
      <c r="E49" s="1526"/>
      <c r="F49" s="1526"/>
      <c r="G49" s="944"/>
      <c r="H49" s="944"/>
    </row>
    <row r="50" spans="1:8" ht="15" customHeight="1">
      <c r="A50" s="1529">
        <v>12</v>
      </c>
      <c r="B50" s="1530" t="s">
        <v>663</v>
      </c>
      <c r="C50" s="1524"/>
      <c r="D50" s="1526"/>
      <c r="E50" s="1526"/>
      <c r="F50" s="1526"/>
      <c r="G50" s="944"/>
      <c r="H50" s="944"/>
    </row>
    <row r="51" spans="1:8" ht="9.75" customHeight="1" hidden="1">
      <c r="A51" s="1529"/>
      <c r="B51" s="1530"/>
      <c r="C51" s="1524"/>
      <c r="D51" s="1526"/>
      <c r="E51" s="1526"/>
      <c r="F51" s="1526"/>
      <c r="G51" s="944"/>
      <c r="H51" s="944"/>
    </row>
    <row r="52" spans="1:8" ht="15" customHeight="1">
      <c r="A52" s="1529">
        <v>13</v>
      </c>
      <c r="B52" s="1530" t="s">
        <v>1094</v>
      </c>
      <c r="C52" s="1524"/>
      <c r="D52" s="1526"/>
      <c r="E52" s="1526"/>
      <c r="F52" s="1526"/>
      <c r="G52" s="944"/>
      <c r="H52" s="944"/>
    </row>
    <row r="53" spans="1:8" ht="9.75" customHeight="1" hidden="1">
      <c r="A53" s="1529"/>
      <c r="B53" s="1530"/>
      <c r="C53" s="1524"/>
      <c r="D53" s="1526"/>
      <c r="E53" s="1526"/>
      <c r="F53" s="1526"/>
      <c r="G53" s="944"/>
      <c r="H53" s="944"/>
    </row>
    <row r="54" spans="1:8" ht="15" customHeight="1">
      <c r="A54" s="1529">
        <v>14</v>
      </c>
      <c r="B54" s="1530" t="s">
        <v>1095</v>
      </c>
      <c r="C54" s="1524"/>
      <c r="D54" s="1526"/>
      <c r="E54" s="1526"/>
      <c r="F54" s="1526"/>
      <c r="G54" s="944"/>
      <c r="H54" s="944"/>
    </row>
    <row r="55" spans="1:8" ht="9.75" customHeight="1" hidden="1">
      <c r="A55" s="1529"/>
      <c r="B55" s="1530"/>
      <c r="C55" s="1524"/>
      <c r="D55" s="1526"/>
      <c r="E55" s="1526"/>
      <c r="F55" s="1526"/>
      <c r="G55" s="944"/>
      <c r="H55" s="944"/>
    </row>
    <row r="56" spans="1:8" ht="15" customHeight="1">
      <c r="A56" s="1529">
        <v>15</v>
      </c>
      <c r="B56" s="1530" t="s">
        <v>1096</v>
      </c>
      <c r="C56" s="1524"/>
      <c r="D56" s="1526"/>
      <c r="E56" s="1526"/>
      <c r="F56" s="1526"/>
      <c r="G56" s="944"/>
      <c r="H56" s="944"/>
    </row>
    <row r="57" spans="1:8" ht="9.75" customHeight="1" hidden="1">
      <c r="A57" s="1518"/>
      <c r="B57" s="1530"/>
      <c r="C57" s="1524"/>
      <c r="D57" s="1526"/>
      <c r="E57" s="1526"/>
      <c r="F57" s="1526"/>
      <c r="G57" s="944"/>
      <c r="H57" s="944"/>
    </row>
    <row r="58" spans="1:8" ht="15" customHeight="1">
      <c r="A58" s="1529">
        <v>16</v>
      </c>
      <c r="B58" s="1530" t="s">
        <v>664</v>
      </c>
      <c r="C58" s="1524"/>
      <c r="D58" s="1526"/>
      <c r="E58" s="1526"/>
      <c r="F58" s="1526"/>
      <c r="G58" s="944"/>
      <c r="H58" s="944"/>
    </row>
    <row r="59" spans="1:8" ht="4.5" customHeight="1">
      <c r="A59" s="1529"/>
      <c r="B59" s="1530"/>
      <c r="C59" s="1524"/>
      <c r="D59" s="1526"/>
      <c r="E59" s="1526"/>
      <c r="F59" s="1526"/>
      <c r="G59" s="944"/>
      <c r="H59" s="944"/>
    </row>
    <row r="60" spans="1:8" ht="15" customHeight="1">
      <c r="A60" s="1518" t="s">
        <v>171</v>
      </c>
      <c r="B60" s="1532" t="s">
        <v>665</v>
      </c>
      <c r="C60" s="1524"/>
      <c r="D60" s="1534">
        <v>98</v>
      </c>
      <c r="E60" s="1534">
        <v>65.938</v>
      </c>
      <c r="F60" s="401">
        <f>E60/D60*100</f>
        <v>67.28367346938776</v>
      </c>
      <c r="G60" s="944"/>
      <c r="H60" s="944"/>
    </row>
    <row r="61" spans="1:8" ht="15" customHeight="1">
      <c r="A61" s="1518" t="s">
        <v>529</v>
      </c>
      <c r="B61" s="1532" t="s">
        <v>666</v>
      </c>
      <c r="C61" s="1524"/>
      <c r="D61" s="1534">
        <v>2482</v>
      </c>
      <c r="E61" s="1534">
        <v>2384.125</v>
      </c>
      <c r="F61" s="401">
        <f>E61/D61*100</f>
        <v>96.05660757453667</v>
      </c>
      <c r="G61" s="944"/>
      <c r="H61" s="944"/>
    </row>
    <row r="62" spans="1:8" ht="15" customHeight="1">
      <c r="A62" s="1518" t="s">
        <v>1125</v>
      </c>
      <c r="B62" s="2134" t="s">
        <v>667</v>
      </c>
      <c r="C62" s="1524"/>
      <c r="D62" s="1534">
        <v>120</v>
      </c>
      <c r="E62" s="1534">
        <v>120</v>
      </c>
      <c r="F62" s="401">
        <f>E62/D62*100</f>
        <v>100</v>
      </c>
      <c r="G62" s="944"/>
      <c r="H62" s="944"/>
    </row>
    <row r="63" spans="1:8" ht="15" customHeight="1">
      <c r="A63" s="1518" t="s">
        <v>1109</v>
      </c>
      <c r="B63" s="1532" t="s">
        <v>1191</v>
      </c>
      <c r="C63" s="1524"/>
      <c r="D63" s="1534">
        <v>3447</v>
      </c>
      <c r="E63" s="1534">
        <v>3311.664</v>
      </c>
      <c r="F63" s="401">
        <f>E63/D63*100</f>
        <v>96.07380330722368</v>
      </c>
      <c r="G63" s="944"/>
      <c r="H63" s="944"/>
    </row>
    <row r="64" spans="1:8" ht="15" customHeight="1">
      <c r="A64" s="1518" t="s">
        <v>307</v>
      </c>
      <c r="B64" s="2134" t="s">
        <v>1192</v>
      </c>
      <c r="C64" s="1524"/>
      <c r="D64" s="1534">
        <v>29470</v>
      </c>
      <c r="E64" s="1534">
        <v>28980.678999999996</v>
      </c>
      <c r="F64" s="401">
        <f>E64/D64*100</f>
        <v>98.33959619952492</v>
      </c>
      <c r="G64" s="944"/>
      <c r="H64" s="944"/>
    </row>
    <row r="65" spans="1:8" ht="15" customHeight="1">
      <c r="A65" s="1518" t="s">
        <v>318</v>
      </c>
      <c r="B65" s="1532" t="s">
        <v>327</v>
      </c>
      <c r="C65" s="1524"/>
      <c r="D65" s="792"/>
      <c r="E65" s="792">
        <v>90.12</v>
      </c>
      <c r="F65" s="401">
        <v>0</v>
      </c>
      <c r="G65" s="944"/>
      <c r="H65" s="944"/>
    </row>
    <row r="66" spans="1:8" ht="4.5" customHeight="1">
      <c r="A66" s="1529"/>
      <c r="B66" s="1530"/>
      <c r="C66" s="1524"/>
      <c r="D66" s="1526"/>
      <c r="E66" s="1526"/>
      <c r="F66" s="1526"/>
      <c r="G66" s="944"/>
      <c r="H66" s="944"/>
    </row>
    <row r="67" spans="1:8" ht="15" customHeight="1">
      <c r="A67" s="1529"/>
      <c r="B67" s="1530" t="s">
        <v>668</v>
      </c>
      <c r="C67" s="1537">
        <f>SUM(C60:C66)</f>
        <v>0</v>
      </c>
      <c r="D67" s="1537">
        <f>SUM(D60:D66)</f>
        <v>35617</v>
      </c>
      <c r="E67" s="1537">
        <f>SUM(E60:E66)</f>
        <v>34952.526</v>
      </c>
      <c r="F67" s="1551">
        <f>E67/D67*100</f>
        <v>98.13439088075918</v>
      </c>
      <c r="G67" s="944"/>
      <c r="H67" s="944"/>
    </row>
    <row r="68" spans="1:8" ht="4.5" customHeight="1">
      <c r="A68" s="1529"/>
      <c r="B68" s="1530"/>
      <c r="C68" s="1524"/>
      <c r="D68" s="1526"/>
      <c r="E68" s="1526"/>
      <c r="F68" s="1526"/>
      <c r="G68" s="944"/>
      <c r="H68" s="944"/>
    </row>
    <row r="69" spans="1:8" ht="15" customHeight="1">
      <c r="A69" s="1529">
        <v>17</v>
      </c>
      <c r="B69" s="1530" t="s">
        <v>398</v>
      </c>
      <c r="C69" s="1524"/>
      <c r="D69" s="1526"/>
      <c r="E69" s="1526"/>
      <c r="F69" s="1526"/>
      <c r="G69" s="944"/>
      <c r="H69" s="944"/>
    </row>
    <row r="70" spans="1:8" ht="9.75" customHeight="1" hidden="1" thickBot="1">
      <c r="A70" s="1529"/>
      <c r="B70" s="1530"/>
      <c r="C70" s="1524"/>
      <c r="D70" s="1526"/>
      <c r="E70" s="1526"/>
      <c r="F70" s="1526"/>
      <c r="G70" s="944"/>
      <c r="H70" s="944"/>
    </row>
    <row r="71" spans="1:8" s="1538" customFormat="1" ht="15" customHeight="1">
      <c r="A71" s="1529">
        <v>18</v>
      </c>
      <c r="B71" s="1530" t="s">
        <v>669</v>
      </c>
      <c r="C71" s="1524"/>
      <c r="D71" s="1526"/>
      <c r="E71" s="1526"/>
      <c r="F71" s="1526"/>
      <c r="G71" s="1531"/>
      <c r="H71" s="1531"/>
    </row>
    <row r="72" spans="1:8" s="1538" customFormat="1" ht="9.75" customHeight="1" hidden="1">
      <c r="A72" s="1529"/>
      <c r="B72" s="1530"/>
      <c r="C72" s="1524"/>
      <c r="D72" s="1526"/>
      <c r="E72" s="1526"/>
      <c r="F72" s="1526"/>
      <c r="G72" s="1531"/>
      <c r="H72" s="1531"/>
    </row>
    <row r="73" spans="1:8" s="1538" customFormat="1" ht="15" customHeight="1">
      <c r="A73" s="1529">
        <v>19</v>
      </c>
      <c r="B73" s="1530" t="s">
        <v>670</v>
      </c>
      <c r="C73" s="1524"/>
      <c r="D73" s="1526"/>
      <c r="E73" s="1526"/>
      <c r="F73" s="1526"/>
      <c r="G73" s="1531"/>
      <c r="H73" s="1531"/>
    </row>
    <row r="74" spans="1:8" s="1538" customFormat="1" ht="15" customHeight="1">
      <c r="A74" s="1518" t="s">
        <v>171</v>
      </c>
      <c r="B74" s="1532" t="s">
        <v>1193</v>
      </c>
      <c r="C74" s="1524"/>
      <c r="D74" s="1534">
        <v>1351</v>
      </c>
      <c r="E74" s="1534">
        <v>1351</v>
      </c>
      <c r="F74" s="401">
        <f>E74/D74*100</f>
        <v>100</v>
      </c>
      <c r="G74" s="1531"/>
      <c r="H74" s="1531"/>
    </row>
    <row r="75" spans="1:8" s="1538" customFormat="1" ht="4.5" customHeight="1">
      <c r="A75" s="1518"/>
      <c r="B75" s="2134"/>
      <c r="C75" s="2135"/>
      <c r="D75" s="1534"/>
      <c r="E75" s="1534"/>
      <c r="F75" s="401"/>
      <c r="G75" s="1531"/>
      <c r="H75" s="1531"/>
    </row>
    <row r="76" spans="1:8" s="1538" customFormat="1" ht="15" customHeight="1">
      <c r="A76" s="1518"/>
      <c r="B76" s="1530" t="s">
        <v>727</v>
      </c>
      <c r="C76" s="1537"/>
      <c r="D76" s="1537">
        <f>SUM(D74:D75)</f>
        <v>1351</v>
      </c>
      <c r="E76" s="1537">
        <f>SUM(E74:E75)</f>
        <v>1351</v>
      </c>
      <c r="F76" s="1551">
        <f>E76/D76*100</f>
        <v>100</v>
      </c>
      <c r="G76" s="1531"/>
      <c r="H76" s="1531"/>
    </row>
    <row r="77" spans="1:8" s="1538" customFormat="1" ht="4.5" customHeight="1">
      <c r="A77" s="1529"/>
      <c r="B77" s="1530"/>
      <c r="C77" s="1524"/>
      <c r="D77" s="1526"/>
      <c r="E77" s="1526"/>
      <c r="F77" s="1526"/>
      <c r="G77" s="1531"/>
      <c r="H77" s="1531"/>
    </row>
    <row r="78" spans="1:8" s="1538" customFormat="1" ht="15" customHeight="1">
      <c r="A78" s="1518"/>
      <c r="B78" s="1539" t="s">
        <v>671</v>
      </c>
      <c r="C78" s="1540">
        <f>C48</f>
        <v>26670</v>
      </c>
      <c r="D78" s="1540">
        <f>D48+D67+D76</f>
        <v>57126</v>
      </c>
      <c r="E78" s="1540">
        <f>E48+E67+E76</f>
        <v>44423.202</v>
      </c>
      <c r="F78" s="1553">
        <f>E78/D78*100</f>
        <v>77.76354374540489</v>
      </c>
      <c r="G78" s="1531"/>
      <c r="H78" s="1531"/>
    </row>
    <row r="79" spans="1:8" s="1538" customFormat="1" ht="7.5" customHeight="1">
      <c r="A79" s="1529"/>
      <c r="B79" s="1530"/>
      <c r="C79" s="1524"/>
      <c r="D79" s="1526"/>
      <c r="E79" s="1526"/>
      <c r="F79" s="1526"/>
      <c r="G79" s="1531"/>
      <c r="H79" s="1531"/>
    </row>
    <row r="80" spans="1:8" s="1538" customFormat="1" ht="15" customHeight="1">
      <c r="A80" s="1527" t="s">
        <v>1052</v>
      </c>
      <c r="B80" s="1528" t="s">
        <v>672</v>
      </c>
      <c r="C80" s="1524"/>
      <c r="D80" s="1526"/>
      <c r="E80" s="1526"/>
      <c r="F80" s="1526"/>
      <c r="G80" s="1531"/>
      <c r="H80" s="1531"/>
    </row>
    <row r="81" spans="1:8" s="1538" customFormat="1" ht="4.5" customHeight="1">
      <c r="A81" s="1529"/>
      <c r="B81" s="1530"/>
      <c r="C81" s="1524"/>
      <c r="D81" s="1526"/>
      <c r="E81" s="1526"/>
      <c r="F81" s="1526"/>
      <c r="G81" s="1531"/>
      <c r="H81" s="1531"/>
    </row>
    <row r="82" spans="1:8" s="1538" customFormat="1" ht="15" customHeight="1">
      <c r="A82" s="1529">
        <v>1</v>
      </c>
      <c r="B82" s="1530" t="s">
        <v>673</v>
      </c>
      <c r="C82" s="1524"/>
      <c r="D82" s="1526"/>
      <c r="E82" s="1526"/>
      <c r="F82" s="1526"/>
      <c r="G82" s="1531"/>
      <c r="H82" s="1531"/>
    </row>
    <row r="83" spans="1:8" s="1538" customFormat="1" ht="15" customHeight="1">
      <c r="A83" s="1529">
        <v>2</v>
      </c>
      <c r="B83" s="1530" t="s">
        <v>674</v>
      </c>
      <c r="C83" s="1524"/>
      <c r="D83" s="1526"/>
      <c r="E83" s="1526"/>
      <c r="F83" s="1526"/>
      <c r="G83" s="1531"/>
      <c r="H83" s="1531"/>
    </row>
    <row r="84" spans="1:8" s="1538" customFormat="1" ht="15" customHeight="1">
      <c r="A84" s="1529">
        <v>3</v>
      </c>
      <c r="B84" s="1530" t="s">
        <v>675</v>
      </c>
      <c r="C84" s="1524"/>
      <c r="D84" s="1526"/>
      <c r="E84" s="1526"/>
      <c r="F84" s="1526"/>
      <c r="G84" s="1531"/>
      <c r="H84" s="1531"/>
    </row>
    <row r="85" spans="1:8" s="1538" customFormat="1" ht="15" customHeight="1">
      <c r="A85" s="1529">
        <v>4</v>
      </c>
      <c r="B85" s="1530" t="s">
        <v>784</v>
      </c>
      <c r="C85" s="1524"/>
      <c r="D85" s="1526"/>
      <c r="E85" s="1526"/>
      <c r="F85" s="1526"/>
      <c r="G85" s="1531"/>
      <c r="H85" s="1531"/>
    </row>
    <row r="86" spans="1:8" s="1538" customFormat="1" ht="15" customHeight="1">
      <c r="A86" s="1529">
        <v>5</v>
      </c>
      <c r="B86" s="1530" t="s">
        <v>129</v>
      </c>
      <c r="C86" s="1524"/>
      <c r="D86" s="1526"/>
      <c r="E86" s="1526"/>
      <c r="F86" s="1526"/>
      <c r="G86" s="1531"/>
      <c r="H86" s="1531"/>
    </row>
    <row r="87" spans="1:8" s="1538" customFormat="1" ht="15" customHeight="1">
      <c r="A87" s="1529">
        <v>6</v>
      </c>
      <c r="B87" s="1530" t="s">
        <v>676</v>
      </c>
      <c r="C87" s="1524"/>
      <c r="D87" s="1526"/>
      <c r="E87" s="1526"/>
      <c r="F87" s="1526"/>
      <c r="G87" s="1531"/>
      <c r="H87" s="1531"/>
    </row>
    <row r="88" spans="1:8" s="1538" customFormat="1" ht="15" customHeight="1">
      <c r="A88" s="1529">
        <v>7</v>
      </c>
      <c r="B88" s="1530" t="s">
        <v>677</v>
      </c>
      <c r="C88" s="1524"/>
      <c r="D88" s="1526"/>
      <c r="E88" s="1526"/>
      <c r="F88" s="1526"/>
      <c r="G88" s="1531"/>
      <c r="H88" s="1531"/>
    </row>
    <row r="89" spans="1:8" s="1538" customFormat="1" ht="15" customHeight="1">
      <c r="A89" s="1529">
        <v>8</v>
      </c>
      <c r="B89" s="1530" t="s">
        <v>678</v>
      </c>
      <c r="C89" s="1524"/>
      <c r="D89" s="1526"/>
      <c r="E89" s="1526"/>
      <c r="F89" s="1526"/>
      <c r="G89" s="1531"/>
      <c r="H89" s="1531"/>
    </row>
    <row r="90" spans="1:8" s="1538" customFormat="1" ht="15" customHeight="1">
      <c r="A90" s="1529">
        <v>9</v>
      </c>
      <c r="B90" s="1530" t="s">
        <v>788</v>
      </c>
      <c r="C90" s="1524"/>
      <c r="D90" s="1526"/>
      <c r="E90" s="1526"/>
      <c r="F90" s="1526"/>
      <c r="G90" s="1531"/>
      <c r="H90" s="1531"/>
    </row>
    <row r="91" spans="1:8" s="1538" customFormat="1" ht="7.5" customHeight="1">
      <c r="A91" s="1529"/>
      <c r="B91" s="1530"/>
      <c r="C91" s="1524"/>
      <c r="D91" s="1526"/>
      <c r="E91" s="1526"/>
      <c r="F91" s="1526"/>
      <c r="G91" s="1531"/>
      <c r="H91" s="1531"/>
    </row>
    <row r="92" spans="1:8" s="1538" customFormat="1" ht="15" customHeight="1">
      <c r="A92" s="1518"/>
      <c r="B92" s="1539" t="s">
        <v>679</v>
      </c>
      <c r="C92" s="1540">
        <v>0</v>
      </c>
      <c r="D92" s="1540">
        <v>0</v>
      </c>
      <c r="E92" s="1540">
        <v>0</v>
      </c>
      <c r="F92" s="1553">
        <v>0</v>
      </c>
      <c r="G92" s="1531"/>
      <c r="H92" s="1531"/>
    </row>
    <row r="93" spans="1:8" s="1538" customFormat="1" ht="7.5" customHeight="1" thickBot="1">
      <c r="A93" s="1518"/>
      <c r="B93" s="1519"/>
      <c r="C93" s="1524"/>
      <c r="D93" s="1526"/>
      <c r="E93" s="1526"/>
      <c r="F93" s="1526"/>
      <c r="G93" s="1531"/>
      <c r="H93" s="1531"/>
    </row>
    <row r="94" spans="1:8" s="1538" customFormat="1" ht="19.5" customHeight="1" thickBot="1">
      <c r="A94" s="1541" t="s">
        <v>174</v>
      </c>
      <c r="B94" s="1542" t="s">
        <v>680</v>
      </c>
      <c r="C94" s="1543">
        <f>C78+C92</f>
        <v>26670</v>
      </c>
      <c r="D94" s="1543">
        <f>D78+D92</f>
        <v>57126</v>
      </c>
      <c r="E94" s="1543">
        <f>E78+E92</f>
        <v>44423.202</v>
      </c>
      <c r="F94" s="1552">
        <f>E94/D94*100</f>
        <v>77.76354374540489</v>
      </c>
      <c r="G94" s="1531"/>
      <c r="H94" s="1531"/>
    </row>
    <row r="95" spans="1:8" s="1538" customFormat="1" ht="7.5" customHeight="1">
      <c r="A95" s="1518"/>
      <c r="B95" s="1519"/>
      <c r="C95" s="1524"/>
      <c r="D95" s="1526"/>
      <c r="E95" s="1526"/>
      <c r="F95" s="1526"/>
      <c r="G95" s="1531"/>
      <c r="H95" s="1531"/>
    </row>
    <row r="96" spans="1:8" s="1538" customFormat="1" ht="15" customHeight="1">
      <c r="A96" s="1522" t="s">
        <v>457</v>
      </c>
      <c r="B96" s="1519" t="s">
        <v>681</v>
      </c>
      <c r="C96" s="1524"/>
      <c r="D96" s="1544"/>
      <c r="E96" s="1544"/>
      <c r="F96" s="1544"/>
      <c r="G96" s="1531"/>
      <c r="H96" s="1531"/>
    </row>
    <row r="97" spans="1:8" s="1538" customFormat="1" ht="4.5" customHeight="1">
      <c r="A97" s="1522"/>
      <c r="B97" s="1519"/>
      <c r="C97" s="1524"/>
      <c r="D97" s="1544"/>
      <c r="E97" s="1544"/>
      <c r="F97" s="1544"/>
      <c r="G97" s="1531"/>
      <c r="H97" s="1531"/>
    </row>
    <row r="98" spans="1:8" s="1538" customFormat="1" ht="15" customHeight="1">
      <c r="A98" s="1518">
        <v>1</v>
      </c>
      <c r="B98" s="1532" t="s">
        <v>682</v>
      </c>
      <c r="C98" s="1534">
        <v>1270</v>
      </c>
      <c r="D98" s="1534">
        <v>219</v>
      </c>
      <c r="E98" s="1544"/>
      <c r="F98" s="401">
        <f>E98/D98*100</f>
        <v>0</v>
      </c>
      <c r="G98" s="1531"/>
      <c r="H98" s="1531"/>
    </row>
    <row r="99" spans="1:8" s="1538" customFormat="1" ht="15" customHeight="1">
      <c r="A99" s="1518">
        <v>2</v>
      </c>
      <c r="B99" s="1532" t="s">
        <v>1194</v>
      </c>
      <c r="C99" s="1534">
        <v>0</v>
      </c>
      <c r="D99" s="1534">
        <v>1887</v>
      </c>
      <c r="E99" s="1544">
        <v>1873</v>
      </c>
      <c r="F99" s="401">
        <v>0</v>
      </c>
      <c r="G99" s="1531"/>
      <c r="H99" s="1531"/>
    </row>
    <row r="100" spans="1:8" s="1538" customFormat="1" ht="15" customHeight="1" hidden="1">
      <c r="A100" s="1165"/>
      <c r="B100" s="1525" t="s">
        <v>684</v>
      </c>
      <c r="C100" s="1545"/>
      <c r="D100" s="1544">
        <v>0</v>
      </c>
      <c r="E100" s="1544">
        <v>0</v>
      </c>
      <c r="F100" s="1544">
        <v>0</v>
      </c>
      <c r="G100" s="1531"/>
      <c r="H100" s="1531"/>
    </row>
    <row r="101" spans="1:8" s="1538" customFormat="1" ht="15" customHeight="1" hidden="1">
      <c r="A101" s="1165"/>
      <c r="B101" s="1525" t="s">
        <v>278</v>
      </c>
      <c r="C101" s="1545"/>
      <c r="D101" s="1544">
        <v>0</v>
      </c>
      <c r="E101" s="1544">
        <v>0</v>
      </c>
      <c r="F101" s="1544">
        <v>0</v>
      </c>
      <c r="G101" s="1531"/>
      <c r="H101" s="1531"/>
    </row>
    <row r="102" spans="1:8" s="1538" customFormat="1" ht="15" customHeight="1" hidden="1">
      <c r="A102" s="1165"/>
      <c r="B102" s="1546" t="s">
        <v>685</v>
      </c>
      <c r="C102" s="1547"/>
      <c r="D102" s="1544">
        <v>0</v>
      </c>
      <c r="E102" s="1544">
        <v>0</v>
      </c>
      <c r="F102" s="1544">
        <v>0</v>
      </c>
      <c r="G102" s="1531"/>
      <c r="H102" s="1531"/>
    </row>
    <row r="103" spans="1:8" s="1538" customFormat="1" ht="15" customHeight="1" hidden="1">
      <c r="A103" s="1165"/>
      <c r="B103" s="1546" t="s">
        <v>686</v>
      </c>
      <c r="C103" s="1545"/>
      <c r="D103" s="1544">
        <v>0</v>
      </c>
      <c r="E103" s="1544">
        <v>0</v>
      </c>
      <c r="F103" s="1544">
        <v>0</v>
      </c>
      <c r="G103" s="1531"/>
      <c r="H103" s="1531"/>
    </row>
    <row r="104" spans="1:8" s="1538" customFormat="1" ht="15" customHeight="1" hidden="1">
      <c r="A104" s="1165"/>
      <c r="B104" s="1548"/>
      <c r="C104" s="1545"/>
      <c r="D104" s="1544"/>
      <c r="E104" s="1544"/>
      <c r="F104" s="1544"/>
      <c r="G104" s="1531"/>
      <c r="H104" s="1531"/>
    </row>
    <row r="105" spans="1:42" s="1549" customFormat="1" ht="4.5" customHeight="1" thickBot="1">
      <c r="A105" s="1518"/>
      <c r="B105" s="1546"/>
      <c r="C105" s="1524"/>
      <c r="D105" s="1544"/>
      <c r="E105" s="1544"/>
      <c r="F105" s="1544"/>
      <c r="G105" s="944"/>
      <c r="H105" s="944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8"/>
    </row>
    <row r="106" spans="1:8" ht="19.5" customHeight="1" thickBot="1">
      <c r="A106" s="1541" t="s">
        <v>457</v>
      </c>
      <c r="B106" s="1542" t="s">
        <v>1046</v>
      </c>
      <c r="C106" s="1543">
        <f>SUM(C96:C105)</f>
        <v>1270</v>
      </c>
      <c r="D106" s="1543">
        <f>SUM(D96:D105)</f>
        <v>2106</v>
      </c>
      <c r="E106" s="1543">
        <f>SUM(E96:E105)</f>
        <v>1873</v>
      </c>
      <c r="F106" s="1552">
        <f>E106/D106*100</f>
        <v>88.9363722697056</v>
      </c>
      <c r="G106" s="944"/>
      <c r="H106" s="944"/>
    </row>
    <row r="107" spans="2:8" ht="15.75" hidden="1">
      <c r="B107" s="940" t="s">
        <v>687</v>
      </c>
      <c r="C107" s="1550">
        <v>20995</v>
      </c>
      <c r="D107" s="940">
        <v>27940</v>
      </c>
      <c r="E107" s="944"/>
      <c r="F107" s="944"/>
      <c r="G107" s="944"/>
      <c r="H107" s="944"/>
    </row>
    <row r="108" spans="2:8" ht="15.75">
      <c r="B108" s="940"/>
      <c r="C108" s="1550"/>
      <c r="D108" s="940"/>
      <c r="E108" s="944"/>
      <c r="F108" s="944"/>
      <c r="G108" s="944"/>
      <c r="H108" s="944"/>
    </row>
    <row r="109" spans="2:8" ht="15.75">
      <c r="B109" s="940"/>
      <c r="C109" s="1550"/>
      <c r="D109" s="940"/>
      <c r="E109" s="944"/>
      <c r="F109" s="944"/>
      <c r="G109" s="944"/>
      <c r="H109" s="944"/>
    </row>
    <row r="110" spans="2:8" ht="15.75">
      <c r="B110" s="940"/>
      <c r="C110" s="1550"/>
      <c r="D110" s="940"/>
      <c r="E110" s="944"/>
      <c r="F110" s="944"/>
      <c r="G110" s="944"/>
      <c r="H110" s="944"/>
    </row>
    <row r="111" spans="2:8" ht="15.75">
      <c r="B111" s="940"/>
      <c r="C111" s="1550"/>
      <c r="D111" s="940"/>
      <c r="E111" s="944"/>
      <c r="F111" s="944"/>
      <c r="G111" s="944"/>
      <c r="H111" s="944"/>
    </row>
    <row r="112" spans="2:8" ht="15.75">
      <c r="B112" s="940"/>
      <c r="C112" s="1550"/>
      <c r="D112" s="940"/>
      <c r="E112" s="944"/>
      <c r="F112" s="944"/>
      <c r="G112" s="944"/>
      <c r="H112" s="944"/>
    </row>
    <row r="113" spans="2:8" ht="15.75">
      <c r="B113" s="940"/>
      <c r="C113" s="1550"/>
      <c r="D113" s="940"/>
      <c r="E113" s="944"/>
      <c r="F113" s="944"/>
      <c r="G113" s="944"/>
      <c r="H113" s="944"/>
    </row>
    <row r="114" spans="2:8" ht="15.75">
      <c r="B114" s="940"/>
      <c r="C114" s="1550"/>
      <c r="D114" s="940"/>
      <c r="E114" s="944"/>
      <c r="F114" s="944"/>
      <c r="G114" s="944"/>
      <c r="H114" s="944"/>
    </row>
    <row r="115" spans="2:8" ht="15.75">
      <c r="B115" s="940"/>
      <c r="C115" s="1550"/>
      <c r="D115" s="940"/>
      <c r="E115" s="944"/>
      <c r="F115" s="944"/>
      <c r="G115" s="944"/>
      <c r="H115" s="944"/>
    </row>
    <row r="116" spans="2:8" ht="15.75">
      <c r="B116" s="940"/>
      <c r="C116" s="1550"/>
      <c r="D116" s="940"/>
      <c r="E116" s="944"/>
      <c r="F116" s="944"/>
      <c r="G116" s="944"/>
      <c r="H116" s="944"/>
    </row>
    <row r="117" spans="2:8" ht="15.75">
      <c r="B117" s="940"/>
      <c r="C117" s="1550"/>
      <c r="D117" s="940"/>
      <c r="E117" s="944"/>
      <c r="F117" s="944"/>
      <c r="G117" s="944"/>
      <c r="H117" s="944"/>
    </row>
    <row r="118" spans="2:8" ht="15.75">
      <c r="B118" s="940"/>
      <c r="C118" s="1550"/>
      <c r="D118" s="940"/>
      <c r="E118" s="944"/>
      <c r="F118" s="944"/>
      <c r="G118" s="944"/>
      <c r="H118" s="944"/>
    </row>
    <row r="119" spans="2:8" ht="15.75">
      <c r="B119" s="940"/>
      <c r="C119" s="1550"/>
      <c r="D119" s="940"/>
      <c r="E119" s="944"/>
      <c r="F119" s="944"/>
      <c r="G119" s="944"/>
      <c r="H119" s="944"/>
    </row>
    <row r="120" spans="2:8" ht="15.75">
      <c r="B120" s="940"/>
      <c r="C120" s="1550"/>
      <c r="D120" s="940"/>
      <c r="E120" s="944"/>
      <c r="F120" s="944"/>
      <c r="G120" s="944"/>
      <c r="H120" s="944"/>
    </row>
    <row r="121" spans="2:8" ht="15.75">
      <c r="B121" s="940"/>
      <c r="C121" s="1550"/>
      <c r="D121" s="940"/>
      <c r="E121" s="944"/>
      <c r="F121" s="944"/>
      <c r="G121" s="944"/>
      <c r="H121" s="944"/>
    </row>
    <row r="122" spans="2:8" ht="15.75">
      <c r="B122" s="940"/>
      <c r="C122" s="1550"/>
      <c r="D122" s="940"/>
      <c r="E122" s="944"/>
      <c r="F122" s="944"/>
      <c r="G122" s="944"/>
      <c r="H122" s="944"/>
    </row>
    <row r="123" spans="2:8" ht="15.75">
      <c r="B123" s="940"/>
      <c r="C123" s="1550"/>
      <c r="D123" s="940"/>
      <c r="E123" s="944"/>
      <c r="F123" s="944"/>
      <c r="G123" s="944"/>
      <c r="H123" s="944"/>
    </row>
    <row r="124" spans="2:8" ht="15.75">
      <c r="B124" s="940"/>
      <c r="C124" s="1550"/>
      <c r="D124" s="940"/>
      <c r="E124" s="944"/>
      <c r="F124" s="944"/>
      <c r="G124" s="944"/>
      <c r="H124" s="944"/>
    </row>
    <row r="125" spans="2:8" ht="15.75">
      <c r="B125" s="940"/>
      <c r="C125" s="1550"/>
      <c r="D125" s="940"/>
      <c r="E125" s="944"/>
      <c r="F125" s="944"/>
      <c r="G125" s="944"/>
      <c r="H125" s="944"/>
    </row>
    <row r="126" spans="2:8" ht="15.75">
      <c r="B126" s="940"/>
      <c r="C126" s="1550"/>
      <c r="D126" s="940"/>
      <c r="E126" s="944"/>
      <c r="F126" s="944"/>
      <c r="G126" s="944"/>
      <c r="H126" s="944"/>
    </row>
    <row r="127" spans="2:8" ht="15.75">
      <c r="B127" s="940"/>
      <c r="C127" s="1550"/>
      <c r="D127" s="940"/>
      <c r="E127" s="944"/>
      <c r="F127" s="944"/>
      <c r="G127" s="944"/>
      <c r="H127" s="944"/>
    </row>
    <row r="128" spans="2:8" ht="15.75">
      <c r="B128" s="940"/>
      <c r="C128" s="1550"/>
      <c r="D128" s="940"/>
      <c r="E128" s="944"/>
      <c r="F128" s="944"/>
      <c r="G128" s="944"/>
      <c r="H128" s="944"/>
    </row>
    <row r="129" spans="2:8" ht="15.75">
      <c r="B129" s="940"/>
      <c r="C129" s="1550"/>
      <c r="D129" s="940"/>
      <c r="E129" s="944"/>
      <c r="F129" s="944"/>
      <c r="G129" s="944"/>
      <c r="H129" s="944"/>
    </row>
    <row r="130" spans="2:8" ht="15.75">
      <c r="B130" s="940"/>
      <c r="C130" s="1550"/>
      <c r="D130" s="940"/>
      <c r="E130" s="944"/>
      <c r="F130" s="944"/>
      <c r="G130" s="944"/>
      <c r="H130" s="944"/>
    </row>
    <row r="131" spans="2:8" ht="15.75">
      <c r="B131" s="940"/>
      <c r="C131" s="1550"/>
      <c r="D131" s="940"/>
      <c r="E131" s="944"/>
      <c r="F131" s="944"/>
      <c r="G131" s="944"/>
      <c r="H131" s="944"/>
    </row>
    <row r="132" spans="2:8" ht="15.75">
      <c r="B132" s="940"/>
      <c r="C132" s="1550"/>
      <c r="D132" s="940"/>
      <c r="E132" s="944"/>
      <c r="F132" s="944"/>
      <c r="G132" s="944"/>
      <c r="H132" s="944"/>
    </row>
    <row r="133" spans="2:8" ht="15.75">
      <c r="B133" s="940"/>
      <c r="C133" s="1550"/>
      <c r="D133" s="940"/>
      <c r="E133" s="944"/>
      <c r="F133" s="944"/>
      <c r="G133" s="944"/>
      <c r="H133" s="944"/>
    </row>
    <row r="134" spans="2:8" ht="15.75">
      <c r="B134" s="940"/>
      <c r="C134" s="1550"/>
      <c r="D134" s="940"/>
      <c r="E134" s="944"/>
      <c r="F134" s="944"/>
      <c r="G134" s="944"/>
      <c r="H134" s="944"/>
    </row>
    <row r="135" spans="2:8" ht="15.75">
      <c r="B135" s="940"/>
      <c r="C135" s="1550"/>
      <c r="D135" s="940"/>
      <c r="E135" s="944"/>
      <c r="F135" s="944"/>
      <c r="G135" s="944"/>
      <c r="H135" s="944"/>
    </row>
    <row r="136" spans="2:8" ht="15.75">
      <c r="B136" s="940"/>
      <c r="C136" s="1550"/>
      <c r="D136" s="940"/>
      <c r="E136" s="944"/>
      <c r="F136" s="944"/>
      <c r="G136" s="944"/>
      <c r="H136" s="944"/>
    </row>
    <row r="137" spans="2:8" ht="15.75">
      <c r="B137" s="940"/>
      <c r="C137" s="1550"/>
      <c r="D137" s="940"/>
      <c r="E137" s="944"/>
      <c r="F137" s="944"/>
      <c r="G137" s="944"/>
      <c r="H137" s="944"/>
    </row>
    <row r="138" spans="2:8" ht="15.75">
      <c r="B138" s="940"/>
      <c r="C138" s="1550"/>
      <c r="D138" s="940"/>
      <c r="E138" s="944"/>
      <c r="F138" s="944"/>
      <c r="G138" s="944"/>
      <c r="H138" s="944"/>
    </row>
    <row r="139" spans="2:8" ht="15.75">
      <c r="B139" s="940"/>
      <c r="C139" s="1550"/>
      <c r="D139" s="940"/>
      <c r="E139" s="944"/>
      <c r="F139" s="944"/>
      <c r="G139" s="944"/>
      <c r="H139" s="944"/>
    </row>
    <row r="140" spans="2:8" ht="15.75">
      <c r="B140" s="940"/>
      <c r="C140" s="1550"/>
      <c r="D140" s="940"/>
      <c r="E140" s="944"/>
      <c r="F140" s="944"/>
      <c r="G140" s="944"/>
      <c r="H140" s="944"/>
    </row>
    <row r="141" spans="2:8" ht="15.75">
      <c r="B141" s="940"/>
      <c r="C141" s="1550"/>
      <c r="D141" s="940"/>
      <c r="E141" s="944"/>
      <c r="F141" s="944"/>
      <c r="G141" s="944"/>
      <c r="H141" s="944"/>
    </row>
    <row r="142" spans="2:8" ht="15.75">
      <c r="B142" s="940"/>
      <c r="C142" s="1550"/>
      <c r="D142" s="940"/>
      <c r="E142" s="944"/>
      <c r="F142" s="944"/>
      <c r="G142" s="944"/>
      <c r="H142" s="944"/>
    </row>
    <row r="143" spans="2:8" ht="15.75">
      <c r="B143" s="940"/>
      <c r="C143" s="1550"/>
      <c r="D143" s="940"/>
      <c r="E143" s="944"/>
      <c r="F143" s="944"/>
      <c r="G143" s="944"/>
      <c r="H143" s="944"/>
    </row>
    <row r="144" spans="2:8" ht="15.75">
      <c r="B144" s="940"/>
      <c r="C144" s="1550"/>
      <c r="D144" s="940"/>
      <c r="E144" s="944"/>
      <c r="F144" s="944"/>
      <c r="G144" s="944"/>
      <c r="H144" s="944"/>
    </row>
    <row r="145" spans="2:8" ht="15.75">
      <c r="B145" s="940"/>
      <c r="C145" s="1550"/>
      <c r="D145" s="940"/>
      <c r="E145" s="944"/>
      <c r="F145" s="944"/>
      <c r="G145" s="944"/>
      <c r="H145" s="944"/>
    </row>
    <row r="146" spans="2:8" ht="15.75">
      <c r="B146" s="940"/>
      <c r="C146" s="1550"/>
      <c r="D146" s="940"/>
      <c r="E146" s="944"/>
      <c r="F146" s="944"/>
      <c r="G146" s="944"/>
      <c r="H146" s="944"/>
    </row>
    <row r="147" spans="2:8" ht="15.75">
      <c r="B147" s="940"/>
      <c r="C147" s="1550"/>
      <c r="D147" s="940"/>
      <c r="E147" s="944"/>
      <c r="F147" s="944"/>
      <c r="G147" s="944"/>
      <c r="H147" s="944"/>
    </row>
    <row r="148" spans="2:8" ht="15.75">
      <c r="B148" s="940"/>
      <c r="C148" s="1550"/>
      <c r="D148" s="940"/>
      <c r="E148" s="944"/>
      <c r="F148" s="944"/>
      <c r="G148" s="944"/>
      <c r="H148" s="944"/>
    </row>
    <row r="149" spans="2:8" ht="15.75">
      <c r="B149" s="940"/>
      <c r="C149" s="1550"/>
      <c r="D149" s="940"/>
      <c r="E149" s="944"/>
      <c r="F149" s="944"/>
      <c r="G149" s="944"/>
      <c r="H149" s="944"/>
    </row>
    <row r="150" spans="2:8" ht="15.75">
      <c r="B150" s="940"/>
      <c r="C150" s="1550"/>
      <c r="D150" s="940"/>
      <c r="E150" s="944"/>
      <c r="F150" s="944"/>
      <c r="G150" s="944"/>
      <c r="H150" s="944"/>
    </row>
    <row r="151" spans="2:8" ht="15.75">
      <c r="B151" s="940"/>
      <c r="C151" s="1550"/>
      <c r="D151" s="940"/>
      <c r="E151" s="944"/>
      <c r="F151" s="944"/>
      <c r="G151" s="944"/>
      <c r="H151" s="944"/>
    </row>
    <row r="152" spans="2:8" ht="15.75">
      <c r="B152" s="940"/>
      <c r="C152" s="1550"/>
      <c r="D152" s="940"/>
      <c r="E152" s="944"/>
      <c r="F152" s="944"/>
      <c r="G152" s="944"/>
      <c r="H152" s="944"/>
    </row>
    <row r="153" spans="2:8" ht="15.75">
      <c r="B153" s="940"/>
      <c r="C153" s="1550"/>
      <c r="D153" s="940"/>
      <c r="E153" s="944"/>
      <c r="F153" s="944"/>
      <c r="G153" s="944"/>
      <c r="H153" s="944"/>
    </row>
    <row r="154" spans="2:8" ht="15.75">
      <c r="B154" s="940"/>
      <c r="C154" s="1550"/>
      <c r="D154" s="940"/>
      <c r="E154" s="944"/>
      <c r="F154" s="944"/>
      <c r="G154" s="944"/>
      <c r="H154" s="944"/>
    </row>
    <row r="155" spans="2:8" ht="15.75">
      <c r="B155" s="940"/>
      <c r="C155" s="1550"/>
      <c r="D155" s="940"/>
      <c r="E155" s="944"/>
      <c r="F155" s="944"/>
      <c r="G155" s="944"/>
      <c r="H155" s="944"/>
    </row>
    <row r="156" spans="2:8" ht="15.75">
      <c r="B156" s="940"/>
      <c r="C156" s="1550"/>
      <c r="D156" s="940"/>
      <c r="E156" s="944"/>
      <c r="F156" s="944"/>
      <c r="G156" s="944"/>
      <c r="H156" s="944"/>
    </row>
    <row r="157" spans="2:8" ht="15.75">
      <c r="B157" s="940"/>
      <c r="C157" s="1550"/>
      <c r="D157" s="940"/>
      <c r="E157" s="944"/>
      <c r="F157" s="944"/>
      <c r="G157" s="944"/>
      <c r="H157" s="944"/>
    </row>
    <row r="158" spans="2:8" ht="15.75">
      <c r="B158" s="940"/>
      <c r="C158" s="1550"/>
      <c r="D158" s="940"/>
      <c r="E158" s="944"/>
      <c r="F158" s="944"/>
      <c r="G158" s="944"/>
      <c r="H158" s="944"/>
    </row>
    <row r="159" spans="2:8" ht="15.75">
      <c r="B159" s="940"/>
      <c r="C159" s="1550"/>
      <c r="D159" s="940"/>
      <c r="E159" s="944"/>
      <c r="F159" s="944"/>
      <c r="G159" s="944"/>
      <c r="H159" s="944"/>
    </row>
    <row r="160" spans="2:8" ht="15.75">
      <c r="B160" s="940"/>
      <c r="C160" s="1550"/>
      <c r="D160" s="940"/>
      <c r="E160" s="944"/>
      <c r="F160" s="944"/>
      <c r="G160" s="944"/>
      <c r="H160" s="944"/>
    </row>
    <row r="161" spans="2:8" ht="15.75">
      <c r="B161" s="940"/>
      <c r="C161" s="1550"/>
      <c r="D161" s="940"/>
      <c r="E161" s="944"/>
      <c r="F161" s="944"/>
      <c r="G161" s="944"/>
      <c r="H161" s="944"/>
    </row>
    <row r="162" spans="2:8" ht="15.75">
      <c r="B162" s="940"/>
      <c r="C162" s="1550"/>
      <c r="D162" s="940"/>
      <c r="E162" s="944"/>
      <c r="F162" s="944"/>
      <c r="G162" s="944"/>
      <c r="H162" s="944"/>
    </row>
    <row r="163" spans="2:8" ht="15.75">
      <c r="B163" s="940"/>
      <c r="C163" s="1550"/>
      <c r="D163" s="940"/>
      <c r="E163" s="944"/>
      <c r="F163" s="944"/>
      <c r="G163" s="944"/>
      <c r="H163" s="944"/>
    </row>
    <row r="164" spans="2:8" ht="15.75">
      <c r="B164" s="940"/>
      <c r="C164" s="1550"/>
      <c r="D164" s="940"/>
      <c r="E164" s="944"/>
      <c r="F164" s="944"/>
      <c r="G164" s="944"/>
      <c r="H164" s="944"/>
    </row>
    <row r="165" spans="2:8" ht="15.75">
      <c r="B165" s="940"/>
      <c r="C165" s="1550"/>
      <c r="D165" s="940"/>
      <c r="E165" s="944"/>
      <c r="F165" s="944"/>
      <c r="G165" s="944"/>
      <c r="H165" s="944"/>
    </row>
    <row r="166" spans="2:8" ht="15.75">
      <c r="B166" s="940"/>
      <c r="C166" s="1550"/>
      <c r="D166" s="940"/>
      <c r="E166" s="944"/>
      <c r="F166" s="944"/>
      <c r="G166" s="944"/>
      <c r="H166" s="944"/>
    </row>
    <row r="167" spans="2:8" ht="15.75">
      <c r="B167" s="940"/>
      <c r="C167" s="1550"/>
      <c r="D167" s="940"/>
      <c r="E167" s="944"/>
      <c r="F167" s="944"/>
      <c r="G167" s="944"/>
      <c r="H167" s="944"/>
    </row>
    <row r="168" spans="2:8" ht="15.75">
      <c r="B168" s="940"/>
      <c r="C168" s="1550"/>
      <c r="D168" s="940"/>
      <c r="E168" s="944"/>
      <c r="F168" s="944"/>
      <c r="G168" s="944"/>
      <c r="H168" s="944"/>
    </row>
    <row r="169" spans="2:8" ht="15.75">
      <c r="B169" s="940"/>
      <c r="C169" s="1550"/>
      <c r="D169" s="940"/>
      <c r="E169" s="944"/>
      <c r="F169" s="944"/>
      <c r="G169" s="944"/>
      <c r="H169" s="944"/>
    </row>
    <row r="170" spans="2:8" ht="15.75">
      <c r="B170" s="940"/>
      <c r="C170" s="1550"/>
      <c r="D170" s="940"/>
      <c r="E170" s="944"/>
      <c r="F170" s="944"/>
      <c r="G170" s="944"/>
      <c r="H170" s="944"/>
    </row>
    <row r="171" spans="2:8" ht="15.75">
      <c r="B171" s="940"/>
      <c r="C171" s="1550"/>
      <c r="D171" s="940"/>
      <c r="E171" s="944"/>
      <c r="F171" s="944"/>
      <c r="G171" s="944"/>
      <c r="H171" s="944"/>
    </row>
    <row r="172" spans="2:8" ht="15.75">
      <c r="B172" s="940"/>
      <c r="C172" s="1550"/>
      <c r="D172" s="940"/>
      <c r="E172" s="944"/>
      <c r="F172" s="944"/>
      <c r="G172" s="944"/>
      <c r="H172" s="944"/>
    </row>
    <row r="173" spans="2:8" ht="15.75">
      <c r="B173" s="940"/>
      <c r="C173" s="1550"/>
      <c r="D173" s="940"/>
      <c r="E173" s="944"/>
      <c r="F173" s="944"/>
      <c r="G173" s="944"/>
      <c r="H173" s="944"/>
    </row>
    <row r="174" spans="2:8" ht="15.75">
      <c r="B174" s="940"/>
      <c r="C174" s="1550"/>
      <c r="D174" s="940"/>
      <c r="E174" s="944"/>
      <c r="F174" s="944"/>
      <c r="G174" s="944"/>
      <c r="H174" s="944"/>
    </row>
    <row r="175" spans="2:8" ht="15.75">
      <c r="B175" s="940"/>
      <c r="C175" s="1550"/>
      <c r="D175" s="940"/>
      <c r="E175" s="944"/>
      <c r="F175" s="944"/>
      <c r="G175" s="944"/>
      <c r="H175" s="944"/>
    </row>
    <row r="176" spans="2:8" ht="15.75">
      <c r="B176" s="940"/>
      <c r="C176" s="1550"/>
      <c r="D176" s="940"/>
      <c r="E176" s="944"/>
      <c r="F176" s="944"/>
      <c r="G176" s="944"/>
      <c r="H176" s="944"/>
    </row>
    <row r="177" spans="2:8" ht="15.75">
      <c r="B177" s="940"/>
      <c r="C177" s="1550"/>
      <c r="D177" s="940"/>
      <c r="E177" s="944"/>
      <c r="F177" s="944"/>
      <c r="G177" s="944"/>
      <c r="H177" s="944"/>
    </row>
    <row r="178" spans="2:8" ht="15.75">
      <c r="B178" s="940"/>
      <c r="C178" s="1550"/>
      <c r="D178" s="940"/>
      <c r="E178" s="944"/>
      <c r="F178" s="944"/>
      <c r="G178" s="944"/>
      <c r="H178" s="944"/>
    </row>
    <row r="179" spans="2:8" ht="15.75">
      <c r="B179" s="940"/>
      <c r="C179" s="1550"/>
      <c r="D179" s="940"/>
      <c r="E179" s="944"/>
      <c r="F179" s="944"/>
      <c r="G179" s="944"/>
      <c r="H179" s="944"/>
    </row>
    <row r="180" spans="2:8" ht="15.75">
      <c r="B180" s="940"/>
      <c r="C180" s="1550"/>
      <c r="D180" s="940"/>
      <c r="E180" s="944"/>
      <c r="F180" s="944"/>
      <c r="G180" s="944"/>
      <c r="H180" s="944"/>
    </row>
    <row r="181" spans="2:8" ht="15.75">
      <c r="B181" s="940"/>
      <c r="C181" s="1550"/>
      <c r="D181" s="940"/>
      <c r="E181" s="944"/>
      <c r="F181" s="944"/>
      <c r="G181" s="944"/>
      <c r="H181" s="944"/>
    </row>
    <row r="182" spans="2:8" ht="15.75">
      <c r="B182" s="940"/>
      <c r="C182" s="1550"/>
      <c r="D182" s="940"/>
      <c r="E182" s="944"/>
      <c r="F182" s="944"/>
      <c r="G182" s="944"/>
      <c r="H182" s="944"/>
    </row>
    <row r="183" spans="2:8" ht="15.75">
      <c r="B183" s="940"/>
      <c r="C183" s="1550"/>
      <c r="D183" s="940"/>
      <c r="E183" s="944"/>
      <c r="F183" s="944"/>
      <c r="G183" s="944"/>
      <c r="H183" s="944"/>
    </row>
    <row r="184" spans="2:8" ht="15.75">
      <c r="B184" s="940"/>
      <c r="C184" s="1550"/>
      <c r="D184" s="940"/>
      <c r="E184" s="944"/>
      <c r="F184" s="944"/>
      <c r="G184" s="944"/>
      <c r="H184" s="944"/>
    </row>
    <row r="185" spans="2:8" ht="15.75">
      <c r="B185" s="940"/>
      <c r="C185" s="1550"/>
      <c r="D185" s="940"/>
      <c r="E185" s="944"/>
      <c r="F185" s="944"/>
      <c r="G185" s="944"/>
      <c r="H185" s="944"/>
    </row>
    <row r="186" spans="2:8" ht="15.75">
      <c r="B186" s="940"/>
      <c r="C186" s="1550"/>
      <c r="D186" s="940"/>
      <c r="E186" s="944"/>
      <c r="F186" s="944"/>
      <c r="G186" s="944"/>
      <c r="H186" s="944"/>
    </row>
    <row r="187" spans="2:8" ht="15.75">
      <c r="B187" s="940"/>
      <c r="C187" s="1550"/>
      <c r="D187" s="940"/>
      <c r="E187" s="944"/>
      <c r="F187" s="944"/>
      <c r="G187" s="944"/>
      <c r="H187" s="944"/>
    </row>
    <row r="188" spans="2:8" ht="15.75">
      <c r="B188" s="940"/>
      <c r="C188" s="1550"/>
      <c r="D188" s="940"/>
      <c r="E188" s="944"/>
      <c r="F188" s="944"/>
      <c r="G188" s="944"/>
      <c r="H188" s="944"/>
    </row>
    <row r="189" spans="2:8" ht="15.75">
      <c r="B189" s="940"/>
      <c r="C189" s="1550"/>
      <c r="D189" s="940"/>
      <c r="E189" s="944"/>
      <c r="F189" s="944"/>
      <c r="G189" s="944"/>
      <c r="H189" s="944"/>
    </row>
    <row r="190" spans="2:8" ht="15.75">
      <c r="B190" s="940"/>
      <c r="C190" s="1550"/>
      <c r="D190" s="940"/>
      <c r="E190" s="944"/>
      <c r="F190" s="944"/>
      <c r="G190" s="944"/>
      <c r="H190" s="944"/>
    </row>
    <row r="191" spans="2:8" ht="15.75">
      <c r="B191" s="940"/>
      <c r="C191" s="1550"/>
      <c r="D191" s="940"/>
      <c r="E191" s="944"/>
      <c r="F191" s="944"/>
      <c r="G191" s="944"/>
      <c r="H191" s="944"/>
    </row>
    <row r="192" spans="2:8" ht="15.75">
      <c r="B192" s="940"/>
      <c r="C192" s="1550"/>
      <c r="D192" s="940"/>
      <c r="E192" s="944"/>
      <c r="F192" s="944"/>
      <c r="G192" s="944"/>
      <c r="H192" s="944"/>
    </row>
    <row r="193" spans="2:8" ht="15.75">
      <c r="B193" s="940"/>
      <c r="C193" s="1550"/>
      <c r="D193" s="940"/>
      <c r="E193" s="944"/>
      <c r="F193" s="944"/>
      <c r="G193" s="944"/>
      <c r="H193" s="944"/>
    </row>
    <row r="194" spans="2:8" ht="15.75">
      <c r="B194" s="940"/>
      <c r="C194" s="1550"/>
      <c r="D194" s="940"/>
      <c r="E194" s="944"/>
      <c r="F194" s="944"/>
      <c r="G194" s="944"/>
      <c r="H194" s="944"/>
    </row>
    <row r="195" spans="2:8" ht="15.75">
      <c r="B195" s="940"/>
      <c r="C195" s="1550"/>
      <c r="D195" s="940"/>
      <c r="E195" s="944"/>
      <c r="F195" s="944"/>
      <c r="G195" s="944"/>
      <c r="H195" s="944"/>
    </row>
    <row r="196" spans="2:8" ht="15.75">
      <c r="B196" s="940"/>
      <c r="C196" s="1550"/>
      <c r="D196" s="940"/>
      <c r="E196" s="944"/>
      <c r="F196" s="944"/>
      <c r="G196" s="944"/>
      <c r="H196" s="944"/>
    </row>
    <row r="197" spans="2:8" ht="15.75">
      <c r="B197" s="940"/>
      <c r="C197" s="1550"/>
      <c r="D197" s="940"/>
      <c r="E197" s="944"/>
      <c r="F197" s="944"/>
      <c r="G197" s="944"/>
      <c r="H197" s="944"/>
    </row>
    <row r="198" spans="2:8" ht="15.75">
      <c r="B198" s="940"/>
      <c r="C198" s="1550"/>
      <c r="D198" s="940"/>
      <c r="E198" s="944"/>
      <c r="F198" s="944"/>
      <c r="G198" s="944"/>
      <c r="H198" s="944"/>
    </row>
    <row r="199" spans="2:8" ht="15.75">
      <c r="B199" s="940"/>
      <c r="C199" s="1550"/>
      <c r="D199" s="940"/>
      <c r="E199" s="944"/>
      <c r="F199" s="944"/>
      <c r="G199" s="944"/>
      <c r="H199" s="944"/>
    </row>
    <row r="200" spans="2:8" ht="15.75">
      <c r="B200" s="940"/>
      <c r="C200" s="1550"/>
      <c r="D200" s="940"/>
      <c r="E200" s="944"/>
      <c r="F200" s="944"/>
      <c r="G200" s="944"/>
      <c r="H200" s="944"/>
    </row>
    <row r="201" spans="2:8" ht="15.75">
      <c r="B201" s="940"/>
      <c r="C201" s="1550"/>
      <c r="D201" s="940"/>
      <c r="E201" s="944"/>
      <c r="F201" s="944"/>
      <c r="G201" s="944"/>
      <c r="H201" s="944"/>
    </row>
    <row r="202" spans="2:8" ht="15.75">
      <c r="B202" s="940"/>
      <c r="C202" s="1550"/>
      <c r="D202" s="940"/>
      <c r="E202" s="944"/>
      <c r="F202" s="944"/>
      <c r="G202" s="944"/>
      <c r="H202" s="944"/>
    </row>
    <row r="203" spans="2:8" ht="15.75">
      <c r="B203" s="940"/>
      <c r="C203" s="1550"/>
      <c r="D203" s="940"/>
      <c r="E203" s="944"/>
      <c r="F203" s="944"/>
      <c r="G203" s="944"/>
      <c r="H203" s="944"/>
    </row>
    <row r="204" spans="2:8" ht="15.75">
      <c r="B204" s="940"/>
      <c r="C204" s="1550"/>
      <c r="D204" s="940"/>
      <c r="E204" s="944"/>
      <c r="F204" s="944"/>
      <c r="G204" s="944"/>
      <c r="H204" s="944"/>
    </row>
    <row r="205" spans="2:8" ht="15.75">
      <c r="B205" s="940"/>
      <c r="C205" s="1550"/>
      <c r="D205" s="940"/>
      <c r="E205" s="944"/>
      <c r="F205" s="944"/>
      <c r="G205" s="944"/>
      <c r="H205" s="944"/>
    </row>
    <row r="206" spans="2:8" ht="15.75">
      <c r="B206" s="940"/>
      <c r="C206" s="1550"/>
      <c r="D206" s="940"/>
      <c r="E206" s="944"/>
      <c r="F206" s="944"/>
      <c r="G206" s="944"/>
      <c r="H206" s="944"/>
    </row>
    <row r="207" spans="2:8" ht="15.75">
      <c r="B207" s="940"/>
      <c r="C207" s="1550"/>
      <c r="D207" s="940"/>
      <c r="E207" s="944"/>
      <c r="F207" s="944"/>
      <c r="G207" s="944"/>
      <c r="H207" s="944"/>
    </row>
    <row r="208" spans="2:8" ht="15.75">
      <c r="B208" s="940"/>
      <c r="C208" s="1550"/>
      <c r="D208" s="940"/>
      <c r="E208" s="944"/>
      <c r="F208" s="944"/>
      <c r="G208" s="944"/>
      <c r="H208" s="944"/>
    </row>
    <row r="209" spans="2:8" ht="15.75">
      <c r="B209" s="940"/>
      <c r="C209" s="1550"/>
      <c r="D209" s="940"/>
      <c r="E209" s="944"/>
      <c r="F209" s="944"/>
      <c r="G209" s="944"/>
      <c r="H209" s="944"/>
    </row>
    <row r="210" spans="2:8" ht="15.75">
      <c r="B210" s="940"/>
      <c r="C210" s="1550"/>
      <c r="D210" s="940"/>
      <c r="E210" s="944"/>
      <c r="F210" s="944"/>
      <c r="G210" s="944"/>
      <c r="H210" s="944"/>
    </row>
    <row r="211" spans="2:8" ht="15.75">
      <c r="B211" s="940"/>
      <c r="C211" s="1550"/>
      <c r="D211" s="940"/>
      <c r="E211" s="944"/>
      <c r="F211" s="944"/>
      <c r="G211" s="944"/>
      <c r="H211" s="944"/>
    </row>
    <row r="212" spans="2:8" ht="15.75">
      <c r="B212" s="940"/>
      <c r="C212" s="1550"/>
      <c r="D212" s="940"/>
      <c r="E212" s="944"/>
      <c r="F212" s="944"/>
      <c r="G212" s="944"/>
      <c r="H212" s="944"/>
    </row>
    <row r="213" spans="2:8" ht="15.75">
      <c r="B213" s="940"/>
      <c r="C213" s="1550"/>
      <c r="D213" s="940"/>
      <c r="E213" s="944"/>
      <c r="F213" s="944"/>
      <c r="G213" s="944"/>
      <c r="H213" s="944"/>
    </row>
    <row r="214" spans="2:8" ht="15.75">
      <c r="B214" s="940"/>
      <c r="C214" s="1550"/>
      <c r="D214" s="940"/>
      <c r="E214" s="944"/>
      <c r="F214" s="944"/>
      <c r="G214" s="944"/>
      <c r="H214" s="944"/>
    </row>
    <row r="215" spans="2:8" ht="15.75">
      <c r="B215" s="940"/>
      <c r="C215" s="1550"/>
      <c r="D215" s="940"/>
      <c r="E215" s="944"/>
      <c r="F215" s="944"/>
      <c r="G215" s="944"/>
      <c r="H215" s="944"/>
    </row>
    <row r="216" spans="2:8" ht="15.75">
      <c r="B216" s="940"/>
      <c r="C216" s="1550"/>
      <c r="D216" s="940"/>
      <c r="E216" s="944"/>
      <c r="F216" s="944"/>
      <c r="G216" s="944"/>
      <c r="H216" s="944"/>
    </row>
    <row r="217" spans="2:8" ht="15.75">
      <c r="B217" s="940"/>
      <c r="C217" s="1550"/>
      <c r="D217" s="940"/>
      <c r="E217" s="944"/>
      <c r="F217" s="944"/>
      <c r="G217" s="944"/>
      <c r="H217" s="944"/>
    </row>
    <row r="218" spans="2:8" ht="15.75">
      <c r="B218" s="940"/>
      <c r="C218" s="1550"/>
      <c r="D218" s="940"/>
      <c r="E218" s="944"/>
      <c r="F218" s="944"/>
      <c r="G218" s="944"/>
      <c r="H218" s="944"/>
    </row>
    <row r="219" spans="2:8" ht="15.75">
      <c r="B219" s="940"/>
      <c r="C219" s="1550"/>
      <c r="D219" s="940"/>
      <c r="E219" s="944"/>
      <c r="F219" s="944"/>
      <c r="G219" s="944"/>
      <c r="H219" s="944"/>
    </row>
    <row r="220" spans="2:8" ht="15.75">
      <c r="B220" s="940"/>
      <c r="C220" s="1550"/>
      <c r="D220" s="940"/>
      <c r="E220" s="944"/>
      <c r="F220" s="944"/>
      <c r="G220" s="944"/>
      <c r="H220" s="944"/>
    </row>
    <row r="221" spans="2:8" ht="15.75">
      <c r="B221" s="940"/>
      <c r="C221" s="1550"/>
      <c r="D221" s="940"/>
      <c r="E221" s="944"/>
      <c r="F221" s="944"/>
      <c r="G221" s="944"/>
      <c r="H221" s="944"/>
    </row>
    <row r="222" spans="2:8" ht="15.75">
      <c r="B222" s="940"/>
      <c r="C222" s="1550"/>
      <c r="D222" s="940"/>
      <c r="E222" s="944"/>
      <c r="F222" s="944"/>
      <c r="G222" s="944"/>
      <c r="H222" s="944"/>
    </row>
    <row r="223" spans="2:8" ht="15.75">
      <c r="B223" s="940"/>
      <c r="C223" s="1550"/>
      <c r="D223" s="940"/>
      <c r="E223" s="944"/>
      <c r="F223" s="944"/>
      <c r="G223" s="944"/>
      <c r="H223" s="944"/>
    </row>
    <row r="224" spans="2:8" ht="15.75">
      <c r="B224" s="940"/>
      <c r="C224" s="1550"/>
      <c r="D224" s="940"/>
      <c r="E224" s="944"/>
      <c r="F224" s="944"/>
      <c r="G224" s="944"/>
      <c r="H224" s="944"/>
    </row>
    <row r="225" spans="2:8" ht="15.75">
      <c r="B225" s="940"/>
      <c r="C225" s="1550"/>
      <c r="D225" s="940"/>
      <c r="E225" s="944"/>
      <c r="F225" s="944"/>
      <c r="G225" s="944"/>
      <c r="H225" s="944"/>
    </row>
    <row r="226" spans="2:8" ht="15.75">
      <c r="B226" s="940"/>
      <c r="C226" s="1550"/>
      <c r="D226" s="940"/>
      <c r="E226" s="944"/>
      <c r="F226" s="944"/>
      <c r="G226" s="944"/>
      <c r="H226" s="944"/>
    </row>
    <row r="227" spans="2:8" ht="15.75">
      <c r="B227" s="940"/>
      <c r="C227" s="1550"/>
      <c r="D227" s="940"/>
      <c r="E227" s="944"/>
      <c r="F227" s="944"/>
      <c r="G227" s="944"/>
      <c r="H227" s="944"/>
    </row>
    <row r="228" spans="2:8" ht="15.75">
      <c r="B228" s="940"/>
      <c r="C228" s="1550"/>
      <c r="D228" s="940"/>
      <c r="E228" s="944"/>
      <c r="F228" s="944"/>
      <c r="G228" s="944"/>
      <c r="H228" s="944"/>
    </row>
    <row r="229" spans="2:8" ht="15.75">
      <c r="B229" s="940"/>
      <c r="C229" s="1550"/>
      <c r="D229" s="940"/>
      <c r="E229" s="944"/>
      <c r="F229" s="944"/>
      <c r="G229" s="944"/>
      <c r="H229" s="944"/>
    </row>
    <row r="230" spans="2:8" ht="15.75">
      <c r="B230" s="940"/>
      <c r="C230" s="1550"/>
      <c r="D230" s="940"/>
      <c r="E230" s="944"/>
      <c r="F230" s="944"/>
      <c r="G230" s="944"/>
      <c r="H230" s="944"/>
    </row>
    <row r="231" spans="2:8" ht="15.75">
      <c r="B231" s="940"/>
      <c r="C231" s="1550"/>
      <c r="D231" s="940"/>
      <c r="E231" s="944"/>
      <c r="F231" s="944"/>
      <c r="G231" s="944"/>
      <c r="H231" s="944"/>
    </row>
    <row r="232" spans="2:8" ht="15.75">
      <c r="B232" s="940"/>
      <c r="C232" s="1550"/>
      <c r="D232" s="940"/>
      <c r="E232" s="944"/>
      <c r="F232" s="944"/>
      <c r="G232" s="944"/>
      <c r="H232" s="944"/>
    </row>
    <row r="233" spans="2:8" ht="15.75">
      <c r="B233" s="940"/>
      <c r="C233" s="1550"/>
      <c r="D233" s="940"/>
      <c r="E233" s="944"/>
      <c r="F233" s="944"/>
      <c r="G233" s="944"/>
      <c r="H233" s="944"/>
    </row>
    <row r="234" spans="2:8" ht="15.75">
      <c r="B234" s="940"/>
      <c r="C234" s="1550"/>
      <c r="D234" s="940"/>
      <c r="E234" s="944"/>
      <c r="F234" s="944"/>
      <c r="G234" s="944"/>
      <c r="H234" s="944"/>
    </row>
  </sheetData>
  <sheetProtection/>
  <mergeCells count="2">
    <mergeCell ref="A6:F6"/>
    <mergeCell ref="A7:F7"/>
  </mergeCells>
  <printOptions horizontalCentered="1" verticalCentered="1"/>
  <pageMargins left="0.15748031496062992" right="0.2362204724409449" top="0.4330708661417323" bottom="0.54" header="0.2362204724409449" footer="0.31"/>
  <pageSetup horizontalDpi="300" verticalDpi="300" orientation="portrait" paperSize="9" scale="73" r:id="rId1"/>
  <headerFooter alignWithMargins="0">
    <oddFooter>&amp;C14. melléklet 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P79"/>
  <sheetViews>
    <sheetView zoomScale="80" zoomScaleNormal="80" zoomScalePageLayoutView="0" workbookViewId="0" topLeftCell="A1">
      <pane xSplit="2" ySplit="9" topLeftCell="C76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F80" sqref="F80"/>
    </sheetView>
  </sheetViews>
  <sheetFormatPr defaultColWidth="9.00390625" defaultRowHeight="12.75"/>
  <cols>
    <col min="1" max="1" width="6.25390625" style="0" customWidth="1"/>
    <col min="2" max="2" width="73.25390625" style="0" customWidth="1"/>
    <col min="3" max="5" width="15.625" style="0" customWidth="1"/>
    <col min="6" max="6" width="15.25390625" style="0" customWidth="1"/>
    <col min="11" max="11" width="14.25390625" style="0" customWidth="1"/>
    <col min="12" max="12" width="12.125" style="0" customWidth="1"/>
  </cols>
  <sheetData>
    <row r="1" spans="1:7" ht="12.75" customHeight="1">
      <c r="A1" s="555"/>
      <c r="B1" s="555"/>
      <c r="C1" s="353"/>
      <c r="D1" s="353"/>
      <c r="E1" s="353"/>
      <c r="F1" s="558"/>
      <c r="G1" s="558"/>
    </row>
    <row r="2" spans="1:7" ht="11.25" customHeight="1">
      <c r="A2" s="555"/>
      <c r="B2" s="555"/>
      <c r="C2" s="353"/>
      <c r="D2" s="353"/>
      <c r="E2" s="353"/>
      <c r="F2" s="558"/>
      <c r="G2" s="558"/>
    </row>
    <row r="3" spans="1:6" ht="8.25" customHeight="1">
      <c r="A3" s="2311"/>
      <c r="B3" s="2311"/>
      <c r="C3" s="2311"/>
      <c r="D3" s="2311"/>
      <c r="E3" s="2311"/>
      <c r="F3" s="2311"/>
    </row>
    <row r="4" spans="1:6" ht="12.75">
      <c r="A4" s="2312"/>
      <c r="B4" s="2312"/>
      <c r="C4" s="2312"/>
      <c r="D4" s="2312"/>
      <c r="E4" s="2312"/>
      <c r="F4" s="2312"/>
    </row>
    <row r="5" spans="1:6" ht="13.5" thickBot="1">
      <c r="A5" s="1806"/>
      <c r="B5" s="1806"/>
      <c r="C5" s="1806"/>
      <c r="D5" s="1806"/>
      <c r="E5" s="1806"/>
      <c r="F5" s="1807" t="s">
        <v>1011</v>
      </c>
    </row>
    <row r="6" spans="1:6" ht="15" customHeight="1">
      <c r="A6" s="1808"/>
      <c r="B6" s="1808"/>
      <c r="C6" s="107" t="s">
        <v>389</v>
      </c>
      <c r="D6" s="107" t="s">
        <v>389</v>
      </c>
      <c r="E6" s="107" t="s">
        <v>302</v>
      </c>
      <c r="F6" s="1809" t="s">
        <v>302</v>
      </c>
    </row>
    <row r="7" spans="1:6" ht="15" customHeight="1">
      <c r="A7" s="1810" t="s">
        <v>315</v>
      </c>
      <c r="B7" s="1811" t="s">
        <v>494</v>
      </c>
      <c r="C7" s="1812" t="s">
        <v>50</v>
      </c>
      <c r="D7" s="1812" t="s">
        <v>490</v>
      </c>
      <c r="E7" s="1812"/>
      <c r="F7" s="1813" t="s">
        <v>317</v>
      </c>
    </row>
    <row r="8" spans="1:6" ht="15" customHeight="1" thickBot="1">
      <c r="A8" s="1814" t="s">
        <v>316</v>
      </c>
      <c r="B8" s="1815"/>
      <c r="C8" s="1816" t="s">
        <v>4</v>
      </c>
      <c r="D8" s="1817" t="s">
        <v>4</v>
      </c>
      <c r="E8" s="1817"/>
      <c r="F8" s="1818"/>
    </row>
    <row r="9" spans="1:6" s="163" customFormat="1" ht="16.5" customHeight="1" thickBot="1">
      <c r="A9" s="1819">
        <v>1</v>
      </c>
      <c r="B9" s="1820">
        <v>2</v>
      </c>
      <c r="C9" s="1821">
        <v>3</v>
      </c>
      <c r="D9" s="1822">
        <v>4</v>
      </c>
      <c r="E9" s="1822">
        <v>5</v>
      </c>
      <c r="F9" s="1823">
        <v>6</v>
      </c>
    </row>
    <row r="10" spans="1:6" s="163" customFormat="1" ht="13.5" customHeight="1">
      <c r="A10" s="1824"/>
      <c r="B10" s="1825"/>
      <c r="C10" s="1826"/>
      <c r="D10" s="1827"/>
      <c r="E10" s="1827"/>
      <c r="F10" s="1828"/>
    </row>
    <row r="11" spans="1:6" s="163" customFormat="1" ht="20.25" customHeight="1">
      <c r="A11" s="1811" t="s">
        <v>5</v>
      </c>
      <c r="B11" s="1829" t="s">
        <v>1013</v>
      </c>
      <c r="C11" s="1826"/>
      <c r="D11" s="1827"/>
      <c r="E11" s="1827"/>
      <c r="F11" s="1828"/>
    </row>
    <row r="12" spans="1:6" ht="15">
      <c r="A12" s="1830"/>
      <c r="B12" s="1831" t="s">
        <v>322</v>
      </c>
      <c r="C12" s="1830"/>
      <c r="D12" s="1832">
        <v>136</v>
      </c>
      <c r="E12" s="1832">
        <v>136</v>
      </c>
      <c r="F12" s="1833">
        <f aca="true" t="shared" si="0" ref="F12:F17">E12/D12*100</f>
        <v>100</v>
      </c>
    </row>
    <row r="13" spans="1:6" ht="15" customHeight="1">
      <c r="A13" s="1834" t="s">
        <v>171</v>
      </c>
      <c r="B13" s="1835" t="s">
        <v>609</v>
      </c>
      <c r="C13" s="1836">
        <v>0</v>
      </c>
      <c r="D13" s="1837">
        <f>SUM(D12)</f>
        <v>136</v>
      </c>
      <c r="E13" s="1837">
        <f>SUM(E12)</f>
        <v>136</v>
      </c>
      <c r="F13" s="1838">
        <f t="shared" si="0"/>
        <v>100</v>
      </c>
    </row>
    <row r="14" spans="1:6" ht="15" customHeight="1">
      <c r="A14" s="1830"/>
      <c r="B14" s="1831" t="s">
        <v>390</v>
      </c>
      <c r="C14" s="1830"/>
      <c r="D14" s="1832">
        <f>111+3515</f>
        <v>3626</v>
      </c>
      <c r="E14" s="1832">
        <f>3486+1</f>
        <v>3487</v>
      </c>
      <c r="F14" s="1833">
        <f t="shared" si="0"/>
        <v>96.1665747380033</v>
      </c>
    </row>
    <row r="15" spans="1:6" ht="15" customHeight="1">
      <c r="A15" s="1834" t="s">
        <v>529</v>
      </c>
      <c r="B15" s="1835" t="s">
        <v>610</v>
      </c>
      <c r="C15" s="1839">
        <v>0</v>
      </c>
      <c r="D15" s="1840">
        <f>SUM(D14)</f>
        <v>3626</v>
      </c>
      <c r="E15" s="1840">
        <f>SUM(E14)</f>
        <v>3487</v>
      </c>
      <c r="F15" s="1838">
        <f t="shared" si="0"/>
        <v>96.1665747380033</v>
      </c>
    </row>
    <row r="16" spans="1:6" ht="15" customHeight="1">
      <c r="A16" s="1834"/>
      <c r="B16" s="1831" t="s">
        <v>390</v>
      </c>
      <c r="C16" s="1830"/>
      <c r="D16" s="1832">
        <f>71+2413</f>
        <v>2484</v>
      </c>
      <c r="E16" s="1832">
        <v>2388</v>
      </c>
      <c r="F16" s="1833">
        <f t="shared" si="0"/>
        <v>96.1352657004831</v>
      </c>
    </row>
    <row r="17" spans="1:6" ht="15" customHeight="1">
      <c r="A17" s="1834" t="s">
        <v>1125</v>
      </c>
      <c r="B17" s="1835" t="s">
        <v>611</v>
      </c>
      <c r="C17" s="1839">
        <v>0</v>
      </c>
      <c r="D17" s="1840">
        <f>SUM(D16)</f>
        <v>2484</v>
      </c>
      <c r="E17" s="1840">
        <f>SUM(E16)</f>
        <v>2388</v>
      </c>
      <c r="F17" s="1838">
        <f t="shared" si="0"/>
        <v>96.1352657004831</v>
      </c>
    </row>
    <row r="18" spans="1:9" ht="15" customHeight="1">
      <c r="A18" s="1834"/>
      <c r="B18" s="1842" t="s">
        <v>391</v>
      </c>
      <c r="C18" s="1830"/>
      <c r="D18" s="1832">
        <v>1222</v>
      </c>
      <c r="E18" s="1832"/>
      <c r="F18" s="1833"/>
      <c r="I18" s="8"/>
    </row>
    <row r="19" spans="1:6" ht="15" customHeight="1">
      <c r="A19" s="1834"/>
      <c r="B19" s="1831" t="s">
        <v>612</v>
      </c>
      <c r="C19" s="1830"/>
      <c r="D19" s="1832">
        <v>25</v>
      </c>
      <c r="E19" s="1832">
        <v>25</v>
      </c>
      <c r="F19" s="1833">
        <f>E19/D19*100</f>
        <v>100</v>
      </c>
    </row>
    <row r="20" spans="1:6" ht="15" customHeight="1">
      <c r="A20" s="1834" t="s">
        <v>1109</v>
      </c>
      <c r="B20" s="1835" t="s">
        <v>613</v>
      </c>
      <c r="C20" s="1839">
        <v>0</v>
      </c>
      <c r="D20" s="1840">
        <f>SUM(D18:D19)</f>
        <v>1247</v>
      </c>
      <c r="E20" s="1840">
        <f>SUM(E18:E19)</f>
        <v>25</v>
      </c>
      <c r="F20" s="1838">
        <f>E20/D20*100</f>
        <v>2.0048115477145148</v>
      </c>
    </row>
    <row r="21" spans="1:6" ht="15" customHeight="1">
      <c r="A21" s="1834"/>
      <c r="B21" s="1831" t="s">
        <v>390</v>
      </c>
      <c r="C21" s="1839"/>
      <c r="D21" s="1843">
        <f>97+2960+1103</f>
        <v>4160</v>
      </c>
      <c r="E21" s="1843">
        <f>4001+1</f>
        <v>4002</v>
      </c>
      <c r="F21" s="1833">
        <f>E21/D21*100</f>
        <v>96.20192307692308</v>
      </c>
    </row>
    <row r="22" spans="1:6" ht="15" customHeight="1">
      <c r="A22" s="1834" t="s">
        <v>307</v>
      </c>
      <c r="B22" s="1835" t="s">
        <v>614</v>
      </c>
      <c r="C22" s="1839">
        <v>0</v>
      </c>
      <c r="D22" s="1840">
        <f>SUM(D21)</f>
        <v>4160</v>
      </c>
      <c r="E22" s="1840">
        <f>SUM(E21)</f>
        <v>4002</v>
      </c>
      <c r="F22" s="1838">
        <f>E22/D22*100</f>
        <v>96.20192307692308</v>
      </c>
    </row>
    <row r="23" spans="1:6" ht="13.5" customHeight="1">
      <c r="A23" s="1834"/>
      <c r="B23" s="1835"/>
      <c r="C23" s="1839"/>
      <c r="D23" s="1840"/>
      <c r="E23" s="1840"/>
      <c r="F23" s="1841"/>
    </row>
    <row r="24" spans="1:6" ht="15" customHeight="1">
      <c r="A24" s="1834" t="s">
        <v>318</v>
      </c>
      <c r="B24" s="1835" t="s">
        <v>615</v>
      </c>
      <c r="C24" s="1839">
        <v>0</v>
      </c>
      <c r="D24" s="1840">
        <v>0</v>
      </c>
      <c r="E24" s="1840">
        <v>0</v>
      </c>
      <c r="F24" s="1841">
        <v>0</v>
      </c>
    </row>
    <row r="25" spans="1:6" ht="13.5" customHeight="1" thickBot="1">
      <c r="A25" s="1845"/>
      <c r="B25" s="1581"/>
      <c r="C25" s="1839"/>
      <c r="D25" s="1840"/>
      <c r="E25" s="1840"/>
      <c r="F25" s="1841"/>
    </row>
    <row r="26" spans="1:8" ht="20.25" customHeight="1" thickBot="1">
      <c r="A26" s="1846" t="s">
        <v>482</v>
      </c>
      <c r="B26" s="1847" t="s">
        <v>616</v>
      </c>
      <c r="C26" s="1848">
        <f>C13+C15+C17+C20+C22+C24</f>
        <v>0</v>
      </c>
      <c r="D26" s="1849">
        <f>D13+D15+D17+D20+D22+D24</f>
        <v>11653</v>
      </c>
      <c r="E26" s="1849">
        <f>E13+E15+E17+E20+E22+E24</f>
        <v>10038</v>
      </c>
      <c r="F26" s="1850">
        <f aca="true" t="shared" si="1" ref="F26:F34">E26/D26*100</f>
        <v>86.14090792070711</v>
      </c>
      <c r="H26" s="1210"/>
    </row>
    <row r="27" spans="1:6" ht="15" customHeight="1">
      <c r="A27" s="1830"/>
      <c r="B27" s="1851" t="s">
        <v>323</v>
      </c>
      <c r="C27" s="1836"/>
      <c r="D27" s="1852">
        <v>3210</v>
      </c>
      <c r="E27" s="1852">
        <v>3210</v>
      </c>
      <c r="F27" s="1833">
        <f t="shared" si="1"/>
        <v>100</v>
      </c>
    </row>
    <row r="28" spans="1:6" s="164" customFormat="1" ht="15" customHeight="1">
      <c r="A28" s="1834" t="s">
        <v>171</v>
      </c>
      <c r="B28" s="1853" t="s">
        <v>617</v>
      </c>
      <c r="C28" s="1839">
        <v>0</v>
      </c>
      <c r="D28" s="1840">
        <f>SUM(D27)</f>
        <v>3210</v>
      </c>
      <c r="E28" s="1840">
        <f>SUM(E27)</f>
        <v>3210</v>
      </c>
      <c r="F28" s="1838">
        <f t="shared" si="1"/>
        <v>100</v>
      </c>
    </row>
    <row r="29" spans="1:6" s="164" customFormat="1" ht="15" customHeight="1">
      <c r="A29" s="1834"/>
      <c r="B29" s="1842" t="s">
        <v>391</v>
      </c>
      <c r="C29" s="1839"/>
      <c r="D29" s="1843">
        <f>192-40</f>
        <v>152</v>
      </c>
      <c r="E29" s="1843">
        <v>152</v>
      </c>
      <c r="F29" s="1833">
        <f t="shared" si="1"/>
        <v>100</v>
      </c>
    </row>
    <row r="30" spans="1:6" s="164" customFormat="1" ht="15" customHeight="1">
      <c r="A30" s="1834"/>
      <c r="B30" s="1842" t="s">
        <v>618</v>
      </c>
      <c r="C30" s="1839"/>
      <c r="D30" s="1843">
        <v>1535</v>
      </c>
      <c r="E30" s="1843">
        <v>1534</v>
      </c>
      <c r="F30" s="1833">
        <f t="shared" si="1"/>
        <v>99.93485342019544</v>
      </c>
    </row>
    <row r="31" spans="1:6" s="164" customFormat="1" ht="15" customHeight="1">
      <c r="A31" s="1834"/>
      <c r="B31" s="1842" t="s">
        <v>1223</v>
      </c>
      <c r="C31" s="1839"/>
      <c r="D31" s="1843">
        <v>2626</v>
      </c>
      <c r="E31" s="1843">
        <v>2626</v>
      </c>
      <c r="F31" s="1833">
        <f t="shared" si="1"/>
        <v>100</v>
      </c>
    </row>
    <row r="32" spans="1:6" s="164" customFormat="1" ht="15" customHeight="1">
      <c r="A32" s="1834" t="s">
        <v>529</v>
      </c>
      <c r="B32" s="1853" t="s">
        <v>619</v>
      </c>
      <c r="C32" s="1839">
        <v>0</v>
      </c>
      <c r="D32" s="1840">
        <f>SUM(D29:D31)</f>
        <v>4313</v>
      </c>
      <c r="E32" s="1840">
        <f>SUM(E29:E31)</f>
        <v>4312</v>
      </c>
      <c r="F32" s="1838">
        <f t="shared" si="1"/>
        <v>99.97681428240203</v>
      </c>
    </row>
    <row r="33" spans="1:6" s="164" customFormat="1" ht="15" customHeight="1">
      <c r="A33" s="1834"/>
      <c r="B33" s="1842" t="s">
        <v>391</v>
      </c>
      <c r="C33" s="1836"/>
      <c r="D33" s="1852">
        <v>2761</v>
      </c>
      <c r="E33" s="1852">
        <v>2761</v>
      </c>
      <c r="F33" s="1833">
        <f t="shared" si="1"/>
        <v>100</v>
      </c>
    </row>
    <row r="34" spans="1:6" s="164" customFormat="1" ht="15" customHeight="1">
      <c r="A34" s="1834"/>
      <c r="B34" s="1842" t="s">
        <v>1224</v>
      </c>
      <c r="C34" s="1836"/>
      <c r="D34" s="1852">
        <v>2566</v>
      </c>
      <c r="E34" s="1852">
        <v>2465</v>
      </c>
      <c r="F34" s="1833">
        <f t="shared" si="1"/>
        <v>96.0639127045986</v>
      </c>
    </row>
    <row r="35" spans="1:6" s="164" customFormat="1" ht="15" customHeight="1">
      <c r="A35" s="1834" t="s">
        <v>1125</v>
      </c>
      <c r="B35" s="1853" t="s">
        <v>620</v>
      </c>
      <c r="C35" s="1839">
        <v>0</v>
      </c>
      <c r="D35" s="1840">
        <f>SUM(D33:D34)</f>
        <v>5327</v>
      </c>
      <c r="E35" s="1840">
        <f>SUM(E33:E34)</f>
        <v>5226</v>
      </c>
      <c r="F35" s="1838">
        <f>SUM(F33:F34)</f>
        <v>196.06391270459858</v>
      </c>
    </row>
    <row r="36" spans="1:6" ht="13.5" customHeight="1">
      <c r="A36" s="1834"/>
      <c r="B36" s="1854"/>
      <c r="C36" s="1830"/>
      <c r="D36" s="1832"/>
      <c r="E36" s="1832"/>
      <c r="F36" s="1833"/>
    </row>
    <row r="37" spans="1:6" s="164" customFormat="1" ht="15" customHeight="1">
      <c r="A37" s="1834" t="s">
        <v>1109</v>
      </c>
      <c r="B37" s="1854" t="s">
        <v>621</v>
      </c>
      <c r="C37" s="1839">
        <v>0</v>
      </c>
      <c r="D37" s="1840">
        <v>0</v>
      </c>
      <c r="E37" s="1840">
        <v>0</v>
      </c>
      <c r="F37" s="1841">
        <v>0</v>
      </c>
    </row>
    <row r="38" spans="1:6" s="164" customFormat="1" ht="15" customHeight="1">
      <c r="A38" s="1834"/>
      <c r="B38" s="1855" t="s">
        <v>330</v>
      </c>
      <c r="C38" s="1839"/>
      <c r="D38" s="1843">
        <f>1996-117</f>
        <v>1879</v>
      </c>
      <c r="E38" s="1843">
        <v>1879</v>
      </c>
      <c r="F38" s="1833">
        <f aca="true" t="shared" si="2" ref="F38:F46">E38/D38*100</f>
        <v>100</v>
      </c>
    </row>
    <row r="39" spans="1:6" s="164" customFormat="1" ht="15" customHeight="1">
      <c r="A39" s="1834"/>
      <c r="B39" s="1855" t="s">
        <v>331</v>
      </c>
      <c r="C39" s="1856"/>
      <c r="D39" s="1843">
        <v>187</v>
      </c>
      <c r="E39" s="1843">
        <v>187</v>
      </c>
      <c r="F39" s="1833">
        <f t="shared" si="2"/>
        <v>100</v>
      </c>
    </row>
    <row r="40" spans="1:6" s="164" customFormat="1" ht="15" customHeight="1">
      <c r="A40" s="1834" t="s">
        <v>307</v>
      </c>
      <c r="B40" s="1835" t="s">
        <v>622</v>
      </c>
      <c r="C40" s="1839">
        <v>0</v>
      </c>
      <c r="D40" s="1840">
        <f>SUM(D38:D39)</f>
        <v>2066</v>
      </c>
      <c r="E40" s="1840">
        <f>SUM(E38:E39)</f>
        <v>2066</v>
      </c>
      <c r="F40" s="1838">
        <f t="shared" si="2"/>
        <v>100</v>
      </c>
    </row>
    <row r="41" spans="1:6" s="164" customFormat="1" ht="15" customHeight="1">
      <c r="A41" s="1834"/>
      <c r="B41" s="1842" t="s">
        <v>623</v>
      </c>
      <c r="C41" s="1836"/>
      <c r="D41" s="1852">
        <v>18</v>
      </c>
      <c r="E41" s="1852">
        <v>18</v>
      </c>
      <c r="F41" s="1833">
        <f t="shared" si="2"/>
        <v>100</v>
      </c>
    </row>
    <row r="42" spans="1:6" ht="15" customHeight="1">
      <c r="A42" s="1834" t="s">
        <v>318</v>
      </c>
      <c r="B42" s="1835" t="s">
        <v>624</v>
      </c>
      <c r="C42" s="1839">
        <v>0</v>
      </c>
      <c r="D42" s="1840">
        <f>SUM(D41)</f>
        <v>18</v>
      </c>
      <c r="E42" s="1840">
        <f>SUM(E41)</f>
        <v>18</v>
      </c>
      <c r="F42" s="1838">
        <f t="shared" si="2"/>
        <v>100</v>
      </c>
    </row>
    <row r="43" spans="1:6" ht="15" customHeight="1">
      <c r="A43" s="1834"/>
      <c r="B43" s="1842" t="s">
        <v>391</v>
      </c>
      <c r="C43" s="1856"/>
      <c r="D43" s="1857">
        <v>3979</v>
      </c>
      <c r="E43" s="1857">
        <v>3979</v>
      </c>
      <c r="F43" s="1833">
        <f t="shared" si="2"/>
        <v>100</v>
      </c>
    </row>
    <row r="44" spans="1:6" ht="15" customHeight="1">
      <c r="A44" s="1834" t="s">
        <v>319</v>
      </c>
      <c r="B44" s="1835" t="s">
        <v>625</v>
      </c>
      <c r="C44" s="1839">
        <v>0</v>
      </c>
      <c r="D44" s="1840">
        <f>SUM(D43)</f>
        <v>3979</v>
      </c>
      <c r="E44" s="1840">
        <f>SUM(E43)</f>
        <v>3979</v>
      </c>
      <c r="F44" s="1838">
        <f t="shared" si="2"/>
        <v>100</v>
      </c>
    </row>
    <row r="45" spans="1:6" ht="15" customHeight="1">
      <c r="A45" s="1834"/>
      <c r="B45" s="1842" t="s">
        <v>1225</v>
      </c>
      <c r="C45" s="1839"/>
      <c r="D45" s="1843">
        <v>515</v>
      </c>
      <c r="E45" s="1843">
        <v>516</v>
      </c>
      <c r="F45" s="1833">
        <f t="shared" si="2"/>
        <v>100.19417475728156</v>
      </c>
    </row>
    <row r="46" spans="1:6" s="164" customFormat="1" ht="15" customHeight="1">
      <c r="A46" s="1834" t="s">
        <v>308</v>
      </c>
      <c r="B46" s="1835" t="s">
        <v>626</v>
      </c>
      <c r="C46" s="1839">
        <v>0</v>
      </c>
      <c r="D46" s="1840">
        <f>SUM(D45)</f>
        <v>515</v>
      </c>
      <c r="E46" s="1840">
        <f>SUM(E45)</f>
        <v>516</v>
      </c>
      <c r="F46" s="1838">
        <f t="shared" si="2"/>
        <v>100.19417475728156</v>
      </c>
    </row>
    <row r="47" spans="1:11" s="164" customFormat="1" ht="13.5" customHeight="1">
      <c r="A47" s="1834"/>
      <c r="B47" s="1835"/>
      <c r="C47" s="1856"/>
      <c r="D47" s="1857"/>
      <c r="E47" s="1857"/>
      <c r="F47" s="1858"/>
      <c r="G47" s="383"/>
      <c r="H47" s="383"/>
      <c r="I47" s="383"/>
      <c r="J47" s="383"/>
      <c r="K47" s="383"/>
    </row>
    <row r="48" spans="1:6" s="164" customFormat="1" ht="15" customHeight="1">
      <c r="A48" s="1834" t="s">
        <v>309</v>
      </c>
      <c r="B48" s="1835" t="s">
        <v>627</v>
      </c>
      <c r="C48" s="1839">
        <v>0</v>
      </c>
      <c r="D48" s="1840">
        <v>0</v>
      </c>
      <c r="E48" s="1840">
        <v>0</v>
      </c>
      <c r="F48" s="1841">
        <v>0</v>
      </c>
    </row>
    <row r="49" spans="1:6" ht="15" customHeight="1">
      <c r="A49" s="1834"/>
      <c r="B49" s="1842" t="s">
        <v>391</v>
      </c>
      <c r="C49" s="1830"/>
      <c r="D49" s="1832">
        <v>5593</v>
      </c>
      <c r="E49" s="1832">
        <v>5593</v>
      </c>
      <c r="F49" s="1833">
        <f>E49/D49*100</f>
        <v>100</v>
      </c>
    </row>
    <row r="50" spans="1:6" ht="15" customHeight="1">
      <c r="A50" s="1834"/>
      <c r="B50" s="1831" t="s">
        <v>390</v>
      </c>
      <c r="C50" s="1830"/>
      <c r="D50" s="1832">
        <f>2977+2883</f>
        <v>5860</v>
      </c>
      <c r="E50" s="1832">
        <v>5630</v>
      </c>
      <c r="F50" s="1833">
        <f>E50/D50*100</f>
        <v>96.07508532423208</v>
      </c>
    </row>
    <row r="51" spans="1:6" ht="15" customHeight="1">
      <c r="A51" s="1834" t="s">
        <v>310</v>
      </c>
      <c r="B51" s="1835" t="s">
        <v>628</v>
      </c>
      <c r="C51" s="1859">
        <v>0</v>
      </c>
      <c r="D51" s="1840">
        <f>SUM(D49:D50)</f>
        <v>11453</v>
      </c>
      <c r="E51" s="1840">
        <f>SUM(E49:E50)</f>
        <v>11223</v>
      </c>
      <c r="F51" s="1838">
        <f aca="true" t="shared" si="3" ref="F51:F56">E51/D51*100</f>
        <v>97.99179254343841</v>
      </c>
    </row>
    <row r="52" spans="1:6" ht="15" customHeight="1">
      <c r="A52" s="1834"/>
      <c r="B52" s="1831" t="s">
        <v>390</v>
      </c>
      <c r="C52" s="1859"/>
      <c r="D52" s="1852">
        <v>57</v>
      </c>
      <c r="E52" s="1852">
        <v>57</v>
      </c>
      <c r="F52" s="1833">
        <f t="shared" si="3"/>
        <v>100</v>
      </c>
    </row>
    <row r="53" spans="1:6" ht="15" customHeight="1">
      <c r="A53" s="1834"/>
      <c r="B53" s="1842" t="s">
        <v>392</v>
      </c>
      <c r="C53" s="1859"/>
      <c r="D53" s="1852">
        <v>77</v>
      </c>
      <c r="E53" s="1852">
        <v>74</v>
      </c>
      <c r="F53" s="1833">
        <f t="shared" si="3"/>
        <v>96.1038961038961</v>
      </c>
    </row>
    <row r="54" spans="1:6" ht="15" customHeight="1">
      <c r="A54" s="1834"/>
      <c r="B54" s="1842" t="s">
        <v>391</v>
      </c>
      <c r="C54" s="1859"/>
      <c r="D54" s="1852">
        <v>4633</v>
      </c>
      <c r="E54" s="1852">
        <v>4633</v>
      </c>
      <c r="F54" s="1833">
        <f t="shared" si="3"/>
        <v>100</v>
      </c>
    </row>
    <row r="55" spans="1:6" ht="15" customHeight="1">
      <c r="A55" s="1834"/>
      <c r="B55" s="1842" t="s">
        <v>629</v>
      </c>
      <c r="C55" s="1859"/>
      <c r="D55" s="1852">
        <v>3720</v>
      </c>
      <c r="E55" s="1852">
        <v>3724</v>
      </c>
      <c r="F55" s="1833">
        <f t="shared" si="3"/>
        <v>100.10752688172042</v>
      </c>
    </row>
    <row r="56" spans="1:6" s="164" customFormat="1" ht="15" customHeight="1">
      <c r="A56" s="1834" t="s">
        <v>311</v>
      </c>
      <c r="B56" s="1835" t="s">
        <v>1226</v>
      </c>
      <c r="C56" s="1839">
        <v>0</v>
      </c>
      <c r="D56" s="1840">
        <f>SUM(D52:D55)</f>
        <v>8487</v>
      </c>
      <c r="E56" s="1840">
        <f>SUM(E52:E55)</f>
        <v>8488</v>
      </c>
      <c r="F56" s="1838">
        <f t="shared" si="3"/>
        <v>100.01178272652291</v>
      </c>
    </row>
    <row r="57" spans="1:6" s="164" customFormat="1" ht="13.5" customHeight="1" thickBot="1">
      <c r="A57" s="1860"/>
      <c r="B57" s="1861"/>
      <c r="C57" s="1839"/>
      <c r="D57" s="1840"/>
      <c r="E57" s="1840"/>
      <c r="F57" s="1841"/>
    </row>
    <row r="58" spans="1:13" ht="21" customHeight="1" thickBot="1">
      <c r="A58" s="1862" t="s">
        <v>155</v>
      </c>
      <c r="B58" s="1863" t="s">
        <v>393</v>
      </c>
      <c r="C58" s="1864">
        <f>C28+C32+C35+C37+C40+C42+C44+C46+C48+C51+C56+C57</f>
        <v>0</v>
      </c>
      <c r="D58" s="1865">
        <f>D28+D32+D35+D37+D40+D42+D44+D46+D48+D51+D56+D57</f>
        <v>39368</v>
      </c>
      <c r="E58" s="1865">
        <f>E28+E32+E35+E37+E40+E42+E44+E46+E48+E51+E56+E57</f>
        <v>39038</v>
      </c>
      <c r="F58" s="1866">
        <f>E58/D58*100</f>
        <v>99.1617557407031</v>
      </c>
      <c r="H58" s="8"/>
      <c r="I58" s="8"/>
      <c r="J58" s="8"/>
      <c r="K58" s="8"/>
      <c r="L58" s="8"/>
      <c r="M58" s="8"/>
    </row>
    <row r="59" spans="1:250" s="380" customFormat="1" ht="13.5" customHeight="1">
      <c r="A59" s="1860"/>
      <c r="B59" s="1867"/>
      <c r="C59" s="1839"/>
      <c r="D59" s="1840"/>
      <c r="E59" s="1840"/>
      <c r="F59" s="1841"/>
      <c r="G59"/>
      <c r="H59" s="8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G59" s="783"/>
      <c r="BI59" s="381"/>
      <c r="BP59" s="783"/>
      <c r="BR59" s="381"/>
      <c r="BY59" s="783"/>
      <c r="CA59" s="381"/>
      <c r="CH59" s="783"/>
      <c r="CJ59" s="381"/>
      <c r="CQ59" s="783"/>
      <c r="CS59" s="381"/>
      <c r="CZ59" s="783"/>
      <c r="DB59" s="381"/>
      <c r="DI59" s="783"/>
      <c r="DK59" s="381"/>
      <c r="DR59" s="783"/>
      <c r="DT59" s="381"/>
      <c r="EA59" s="783"/>
      <c r="EC59" s="381"/>
      <c r="EJ59" s="783"/>
      <c r="EL59" s="381"/>
      <c r="ES59" s="783"/>
      <c r="EU59" s="381"/>
      <c r="FB59" s="783"/>
      <c r="FD59" s="381"/>
      <c r="FK59" s="783"/>
      <c r="FM59" s="381"/>
      <c r="FT59" s="783"/>
      <c r="FV59" s="381"/>
      <c r="GC59" s="783"/>
      <c r="GE59" s="381"/>
      <c r="GL59" s="783"/>
      <c r="GN59" s="381"/>
      <c r="GU59" s="783"/>
      <c r="GW59" s="381"/>
      <c r="HD59" s="783"/>
      <c r="HF59" s="381"/>
      <c r="HM59" s="783"/>
      <c r="HO59" s="381"/>
      <c r="HV59" s="783"/>
      <c r="HX59" s="381"/>
      <c r="IE59" s="783"/>
      <c r="IG59" s="381"/>
      <c r="IN59" s="783"/>
      <c r="IP59" s="381"/>
    </row>
    <row r="60" spans="1:8" ht="15" customHeight="1">
      <c r="A60" s="1834" t="s">
        <v>171</v>
      </c>
      <c r="B60" s="1853" t="s">
        <v>212</v>
      </c>
      <c r="C60" s="1839">
        <v>0</v>
      </c>
      <c r="D60" s="1840">
        <v>0</v>
      </c>
      <c r="E60" s="1840">
        <v>0</v>
      </c>
      <c r="F60" s="1841">
        <v>0</v>
      </c>
      <c r="H60" s="380"/>
    </row>
    <row r="61" spans="1:6" ht="15" customHeight="1">
      <c r="A61" s="1834"/>
      <c r="B61" s="1868" t="s">
        <v>323</v>
      </c>
      <c r="C61" s="1839"/>
      <c r="D61" s="1843">
        <v>2337</v>
      </c>
      <c r="E61" s="1843">
        <v>2245</v>
      </c>
      <c r="F61" s="1833">
        <f>E61/D61*100</f>
        <v>96.06332905434317</v>
      </c>
    </row>
    <row r="62" spans="1:6" ht="15" customHeight="1">
      <c r="A62" s="1834" t="s">
        <v>529</v>
      </c>
      <c r="B62" s="1853" t="s">
        <v>1003</v>
      </c>
      <c r="C62" s="1859">
        <v>0</v>
      </c>
      <c r="D62" s="1840">
        <f>SUM(D61)</f>
        <v>2337</v>
      </c>
      <c r="E62" s="1840">
        <f>SUM(E61)</f>
        <v>2245</v>
      </c>
      <c r="F62" s="1838">
        <f>E62/D62*100</f>
        <v>96.06332905434317</v>
      </c>
    </row>
    <row r="63" spans="1:6" ht="13.5" customHeight="1">
      <c r="A63" s="1834"/>
      <c r="B63" s="1869"/>
      <c r="C63" s="1859"/>
      <c r="D63" s="1840"/>
      <c r="E63" s="1840"/>
      <c r="F63" s="1841"/>
    </row>
    <row r="64" spans="1:6" ht="15" customHeight="1">
      <c r="A64" s="1834" t="s">
        <v>1125</v>
      </c>
      <c r="B64" s="1853" t="s">
        <v>1021</v>
      </c>
      <c r="C64" s="1859">
        <v>0</v>
      </c>
      <c r="D64" s="1840">
        <v>0</v>
      </c>
      <c r="E64" s="1840">
        <v>0</v>
      </c>
      <c r="F64" s="1841">
        <v>0</v>
      </c>
    </row>
    <row r="65" spans="1:6" ht="13.5" customHeight="1">
      <c r="A65" s="1834"/>
      <c r="B65" s="1853"/>
      <c r="C65" s="1859"/>
      <c r="D65" s="1840"/>
      <c r="E65" s="1840"/>
      <c r="F65" s="1841"/>
    </row>
    <row r="66" spans="1:9" ht="15" customHeight="1">
      <c r="A66" s="1834" t="s">
        <v>1109</v>
      </c>
      <c r="B66" s="1853" t="s">
        <v>630</v>
      </c>
      <c r="C66" s="1859">
        <v>0</v>
      </c>
      <c r="D66" s="1840">
        <v>0</v>
      </c>
      <c r="E66" s="1840">
        <v>0</v>
      </c>
      <c r="F66" s="1841">
        <v>0</v>
      </c>
      <c r="I66" s="164"/>
    </row>
    <row r="67" spans="1:6" ht="13.5" customHeight="1">
      <c r="A67" s="1834"/>
      <c r="B67" s="1853"/>
      <c r="C67" s="1856"/>
      <c r="D67" s="1857"/>
      <c r="E67" s="1857"/>
      <c r="F67" s="1858"/>
    </row>
    <row r="68" spans="1:6" ht="15" customHeight="1">
      <c r="A68" s="1834" t="s">
        <v>307</v>
      </c>
      <c r="B68" s="1853" t="s">
        <v>1004</v>
      </c>
      <c r="C68" s="1839">
        <v>0</v>
      </c>
      <c r="D68" s="1840">
        <v>0</v>
      </c>
      <c r="E68" s="1840">
        <v>0</v>
      </c>
      <c r="F68" s="1841">
        <v>0</v>
      </c>
    </row>
    <row r="69" spans="1:6" ht="15" customHeight="1" thickBot="1">
      <c r="A69" s="1870"/>
      <c r="B69" s="1871"/>
      <c r="C69" s="1859"/>
      <c r="D69" s="1837"/>
      <c r="E69" s="1837"/>
      <c r="F69" s="1838"/>
    </row>
    <row r="70" spans="1:6" ht="21.75" customHeight="1" thickBot="1">
      <c r="A70" s="1862" t="s">
        <v>156</v>
      </c>
      <c r="B70" s="1872" t="s">
        <v>631</v>
      </c>
      <c r="C70" s="1873">
        <f>C60+C62+C64+C66+C68</f>
        <v>0</v>
      </c>
      <c r="D70" s="1874">
        <f>D60+D62+D64+D66+D68</f>
        <v>2337</v>
      </c>
      <c r="E70" s="1874">
        <f>E60+E62+E64+E66+E68</f>
        <v>2245</v>
      </c>
      <c r="F70" s="1850">
        <f>E70/D70*100</f>
        <v>96.06332905434317</v>
      </c>
    </row>
    <row r="71" spans="1:6" ht="25.5" customHeight="1" thickBot="1">
      <c r="A71" s="1860"/>
      <c r="B71" s="1842" t="s">
        <v>1227</v>
      </c>
      <c r="C71" s="1876"/>
      <c r="D71" s="1843">
        <v>5165</v>
      </c>
      <c r="E71" s="1877">
        <v>0</v>
      </c>
      <c r="F71" s="1878">
        <v>0</v>
      </c>
    </row>
    <row r="72" spans="1:6" ht="28.5" customHeight="1" thickBot="1">
      <c r="A72" s="1879" t="s">
        <v>157</v>
      </c>
      <c r="B72" s="1880" t="s">
        <v>632</v>
      </c>
      <c r="C72" s="1873">
        <v>0</v>
      </c>
      <c r="D72" s="1874">
        <f>SUM(D71)</f>
        <v>5165</v>
      </c>
      <c r="E72" s="1874">
        <f>SUM(E71)</f>
        <v>0</v>
      </c>
      <c r="F72" s="1875">
        <v>0</v>
      </c>
    </row>
    <row r="73" spans="1:6" ht="13.5" customHeight="1" thickBot="1">
      <c r="A73" s="1834"/>
      <c r="B73" s="1842"/>
      <c r="C73" s="1876"/>
      <c r="D73" s="1843"/>
      <c r="E73" s="1877"/>
      <c r="F73" s="1878"/>
    </row>
    <row r="74" spans="1:8" ht="23.25" customHeight="1" thickBot="1">
      <c r="A74" s="1881" t="s">
        <v>5</v>
      </c>
      <c r="B74" s="1847" t="s">
        <v>633</v>
      </c>
      <c r="C74" s="1882">
        <f>C26+C58+C70+C72</f>
        <v>0</v>
      </c>
      <c r="D74" s="1883">
        <f>D26+D58+D70+D72</f>
        <v>58523</v>
      </c>
      <c r="E74" s="1883">
        <f>E26+E58+E70+E72</f>
        <v>51321</v>
      </c>
      <c r="F74" s="1884">
        <f>E74/D74*100</f>
        <v>87.6937272525332</v>
      </c>
      <c r="G74" s="8"/>
      <c r="H74" s="8"/>
    </row>
    <row r="75" spans="1:6" ht="23.25" customHeight="1">
      <c r="A75" s="1834" t="s">
        <v>171</v>
      </c>
      <c r="B75" s="1842" t="s">
        <v>394</v>
      </c>
      <c r="C75" s="1876"/>
      <c r="D75" s="1843">
        <f>632-170</f>
        <v>462</v>
      </c>
      <c r="E75" s="1843"/>
      <c r="F75" s="1844"/>
    </row>
    <row r="76" spans="1:6" ht="23.25" customHeight="1" thickBot="1">
      <c r="A76" s="1834" t="s">
        <v>529</v>
      </c>
      <c r="B76" s="1842" t="s">
        <v>1248</v>
      </c>
      <c r="C76" s="1876"/>
      <c r="D76" s="1843">
        <v>420</v>
      </c>
      <c r="E76" s="1843">
        <v>417</v>
      </c>
      <c r="F76" s="1844">
        <f>E76/D76*100</f>
        <v>99.28571428571429</v>
      </c>
    </row>
    <row r="77" spans="1:6" ht="28.5" customHeight="1" thickBot="1">
      <c r="A77" s="1879" t="s">
        <v>541</v>
      </c>
      <c r="B77" s="1880" t="s">
        <v>339</v>
      </c>
      <c r="C77" s="1873">
        <v>0</v>
      </c>
      <c r="D77" s="1874">
        <f>SUM(D75:D76)</f>
        <v>882</v>
      </c>
      <c r="E77" s="1874">
        <f>SUM(E75:E76)</f>
        <v>417</v>
      </c>
      <c r="F77" s="1875">
        <f>E77/D77*100</f>
        <v>47.27891156462585</v>
      </c>
    </row>
    <row r="78" spans="1:6" ht="15" customHeight="1" thickBot="1">
      <c r="A78" s="1834"/>
      <c r="B78" s="1853"/>
      <c r="C78" s="1876"/>
      <c r="D78" s="1877"/>
      <c r="E78" s="1877"/>
      <c r="F78" s="1885"/>
    </row>
    <row r="79" spans="1:9" ht="37.5" customHeight="1" thickBot="1">
      <c r="A79" s="1886"/>
      <c r="B79" s="1887" t="s">
        <v>634</v>
      </c>
      <c r="C79" s="1888">
        <f>'T_14_Önk+PH_felúj_'!C94+'T_14_Önk+PH_felúj_'!C106+C26+C58+C70+C72+C77</f>
        <v>27940</v>
      </c>
      <c r="D79" s="1889">
        <f>'T_14_Önk+PH_felúj_'!D94+'T_14_Önk+PH_felúj_'!D106+D26+D58+D70+D72+D77</f>
        <v>118637</v>
      </c>
      <c r="E79" s="1889">
        <f>'T_14_Önk+PH_felúj_'!E94+'T_14_Önk+PH_felúj_'!E106+E26+E58+E70+E72+E77</f>
        <v>98034.20199999999</v>
      </c>
      <c r="F79" s="1884">
        <f>E79/D79*100</f>
        <v>82.63375001053633</v>
      </c>
      <c r="G79" s="8"/>
      <c r="H79" s="8"/>
      <c r="I79" s="8"/>
    </row>
  </sheetData>
  <sheetProtection/>
  <mergeCells count="2">
    <mergeCell ref="A3:F3"/>
    <mergeCell ref="A4:F4"/>
  </mergeCells>
  <printOptions horizontalCentered="1" verticalCentered="1"/>
  <pageMargins left="0.1968503937007874" right="0" top="0.2755905511811024" bottom="0.31496062992125984" header="0.1968503937007874" footer="0.15748031496062992"/>
  <pageSetup horizontalDpi="300" verticalDpi="300" orientation="portrait" paperSize="9" scale="68" r:id="rId1"/>
  <headerFooter alignWithMargins="0">
    <oddFooter>&amp;C14. tábla &amp;P+1.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36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75390625" style="389" customWidth="1"/>
    <col min="2" max="2" width="59.625" style="390" customWidth="1"/>
    <col min="3" max="3" width="11.75390625" style="386" customWidth="1"/>
    <col min="4" max="4" width="13.75390625" style="353" customWidth="1"/>
    <col min="5" max="6" width="13.75390625" style="382" customWidth="1"/>
    <col min="7" max="9" width="6.75390625" style="382" hidden="1" customWidth="1"/>
    <col min="10" max="16384" width="9.125" style="771" customWidth="1"/>
  </cols>
  <sheetData>
    <row r="2" spans="1:9" s="386" customFormat="1" ht="12.75">
      <c r="A2" s="384"/>
      <c r="B2" s="385"/>
      <c r="D2" s="558"/>
      <c r="E2" s="353"/>
      <c r="F2" s="558" t="s">
        <v>1271</v>
      </c>
      <c r="G2" s="353"/>
      <c r="H2" s="353"/>
      <c r="I2" s="353"/>
    </row>
    <row r="3" spans="1:9" s="386" customFormat="1" ht="12.75">
      <c r="A3" s="384"/>
      <c r="B3" s="385"/>
      <c r="D3" s="558"/>
      <c r="E3" s="353"/>
      <c r="F3" s="558" t="s">
        <v>71</v>
      </c>
      <c r="G3" s="353"/>
      <c r="H3" s="353"/>
      <c r="I3" s="353"/>
    </row>
    <row r="4" spans="1:9" s="386" customFormat="1" ht="12.75" hidden="1">
      <c r="A4" s="384"/>
      <c r="B4" s="385"/>
      <c r="D4" s="558"/>
      <c r="E4" s="353"/>
      <c r="F4" s="1208" t="s">
        <v>739</v>
      </c>
      <c r="G4" s="353"/>
      <c r="H4" s="353"/>
      <c r="I4" s="353"/>
    </row>
    <row r="5" spans="1:9" s="386" customFormat="1" ht="12.75">
      <c r="A5" s="384"/>
      <c r="B5" s="385"/>
      <c r="D5" s="353"/>
      <c r="E5" s="353"/>
      <c r="F5" s="353"/>
      <c r="G5" s="353"/>
      <c r="H5" s="353"/>
      <c r="I5" s="353"/>
    </row>
    <row r="6" spans="1:9" s="386" customFormat="1" ht="16.5">
      <c r="A6" s="2309" t="s">
        <v>807</v>
      </c>
      <c r="B6" s="2309"/>
      <c r="C6" s="2309"/>
      <c r="D6" s="2309"/>
      <c r="E6" s="2309"/>
      <c r="F6" s="2309"/>
      <c r="G6" s="353"/>
      <c r="H6" s="353"/>
      <c r="I6" s="353"/>
    </row>
    <row r="7" spans="1:9" s="386" customFormat="1" ht="12.75">
      <c r="A7" s="2310" t="s">
        <v>546</v>
      </c>
      <c r="B7" s="2310"/>
      <c r="C7" s="2310"/>
      <c r="D7" s="2310"/>
      <c r="E7" s="2310"/>
      <c r="F7" s="2310"/>
      <c r="G7" s="353"/>
      <c r="H7" s="353"/>
      <c r="I7" s="353"/>
    </row>
    <row r="8" spans="1:9" s="386" customFormat="1" ht="17.25" customHeight="1" thickBot="1">
      <c r="A8" s="384"/>
      <c r="B8" s="385"/>
      <c r="D8" s="353"/>
      <c r="E8" s="353"/>
      <c r="F8" s="353"/>
      <c r="G8" s="353"/>
      <c r="H8" s="353"/>
      <c r="I8" s="353"/>
    </row>
    <row r="9" spans="1:9" s="386" customFormat="1" ht="12.75">
      <c r="A9" s="1506" t="s">
        <v>315</v>
      </c>
      <c r="B9" s="1554" t="s">
        <v>494</v>
      </c>
      <c r="C9" s="1508" t="s">
        <v>802</v>
      </c>
      <c r="D9" s="1509" t="s">
        <v>802</v>
      </c>
      <c r="E9" s="1509"/>
      <c r="F9" s="1509"/>
      <c r="G9" s="17" t="s">
        <v>738</v>
      </c>
      <c r="H9" s="7"/>
      <c r="I9" s="7"/>
    </row>
    <row r="10" spans="1:9" s="386" customFormat="1" ht="12.75">
      <c r="A10" s="1510" t="s">
        <v>316</v>
      </c>
      <c r="B10" s="1555"/>
      <c r="C10" s="1512" t="s">
        <v>50</v>
      </c>
      <c r="D10" s="1512" t="s">
        <v>490</v>
      </c>
      <c r="E10" s="1512" t="s">
        <v>302</v>
      </c>
      <c r="F10" s="1512" t="s">
        <v>302</v>
      </c>
      <c r="G10" s="1605" t="s">
        <v>759</v>
      </c>
      <c r="H10" s="7"/>
      <c r="I10" s="7"/>
    </row>
    <row r="11" spans="1:9" s="386" customFormat="1" ht="13.5" thickBot="1">
      <c r="A11" s="1556"/>
      <c r="B11" s="1557"/>
      <c r="C11" s="1515" t="s">
        <v>4</v>
      </c>
      <c r="D11" s="1516" t="s">
        <v>4</v>
      </c>
      <c r="E11" s="1516"/>
      <c r="F11" s="1516" t="s">
        <v>304</v>
      </c>
      <c r="G11" s="18" t="s">
        <v>50</v>
      </c>
      <c r="H11" s="7" t="s">
        <v>760</v>
      </c>
      <c r="I11" s="7" t="s">
        <v>761</v>
      </c>
    </row>
    <row r="12" spans="1:6" s="386" customFormat="1" ht="13.5" thickBot="1">
      <c r="A12" s="1558">
        <v>1</v>
      </c>
      <c r="B12" s="1559">
        <v>2</v>
      </c>
      <c r="C12" s="1561">
        <v>3</v>
      </c>
      <c r="D12" s="1560">
        <v>4</v>
      </c>
      <c r="E12" s="1560">
        <v>5</v>
      </c>
      <c r="F12" s="1560">
        <v>6</v>
      </c>
    </row>
    <row r="13" spans="1:9" ht="9.75" customHeight="1">
      <c r="A13" s="1562"/>
      <c r="B13" s="1523"/>
      <c r="C13" s="1563"/>
      <c r="D13" s="1564"/>
      <c r="E13" s="1564"/>
      <c r="F13" s="1564"/>
      <c r="G13" s="771"/>
      <c r="H13" s="771"/>
      <c r="I13" s="771"/>
    </row>
    <row r="14" spans="1:6" s="1566" customFormat="1" ht="15.75">
      <c r="A14" s="1522" t="s">
        <v>174</v>
      </c>
      <c r="B14" s="1523" t="s">
        <v>843</v>
      </c>
      <c r="C14" s="1563"/>
      <c r="D14" s="1565"/>
      <c r="E14" s="1565"/>
      <c r="F14" s="1565"/>
    </row>
    <row r="15" spans="1:6" s="1566" customFormat="1" ht="9.75" customHeight="1">
      <c r="A15" s="1522"/>
      <c r="B15" s="1523"/>
      <c r="C15" s="1563"/>
      <c r="D15" s="1565"/>
      <c r="E15" s="1565"/>
      <c r="F15" s="1565"/>
    </row>
    <row r="16" spans="1:6" s="1566" customFormat="1" ht="13.5" customHeight="1">
      <c r="A16" s="1527" t="s">
        <v>1051</v>
      </c>
      <c r="B16" s="1528" t="s">
        <v>655</v>
      </c>
      <c r="C16" s="1563"/>
      <c r="D16" s="1565"/>
      <c r="E16" s="1565"/>
      <c r="F16" s="1565"/>
    </row>
    <row r="17" spans="1:6" s="1566" customFormat="1" ht="9.75" customHeight="1">
      <c r="A17" s="1522"/>
      <c r="B17" s="1523"/>
      <c r="C17" s="1563"/>
      <c r="D17" s="1565"/>
      <c r="E17" s="1565"/>
      <c r="F17" s="1565"/>
    </row>
    <row r="18" spans="1:9" ht="13.5" customHeight="1">
      <c r="A18" s="1529">
        <v>1</v>
      </c>
      <c r="B18" s="1530" t="s">
        <v>656</v>
      </c>
      <c r="C18" s="1567"/>
      <c r="D18" s="1568"/>
      <c r="E18" s="1568"/>
      <c r="F18" s="1568"/>
      <c r="G18" s="771"/>
      <c r="H18" s="771"/>
      <c r="I18" s="771"/>
    </row>
    <row r="19" spans="1:9" ht="9.75" customHeight="1">
      <c r="A19" s="1529"/>
      <c r="B19" s="1530"/>
      <c r="C19" s="1567"/>
      <c r="D19" s="1568"/>
      <c r="E19" s="1568"/>
      <c r="F19" s="1568"/>
      <c r="G19" s="771"/>
      <c r="H19" s="771"/>
      <c r="I19" s="771"/>
    </row>
    <row r="20" spans="1:9" ht="12.75" customHeight="1">
      <c r="A20" s="1518" t="s">
        <v>171</v>
      </c>
      <c r="B20" s="1532" t="s">
        <v>11</v>
      </c>
      <c r="C20" s="1533">
        <v>71120</v>
      </c>
      <c r="D20" s="1569">
        <v>131972</v>
      </c>
      <c r="E20" s="1569">
        <v>84481.978</v>
      </c>
      <c r="F20" s="401">
        <f aca="true" t="shared" si="0" ref="F20:F37">E20/D20*100</f>
        <v>64.01507744066923</v>
      </c>
      <c r="G20" s="771"/>
      <c r="H20" s="771"/>
      <c r="I20" s="771"/>
    </row>
    <row r="21" spans="1:9" ht="12.75">
      <c r="A21" s="1518" t="s">
        <v>529</v>
      </c>
      <c r="B21" s="1532" t="s">
        <v>12</v>
      </c>
      <c r="C21" s="1533">
        <v>71120</v>
      </c>
      <c r="D21" s="1569">
        <v>180938</v>
      </c>
      <c r="E21" s="1569">
        <v>180855.516</v>
      </c>
      <c r="F21" s="401">
        <f t="shared" si="0"/>
        <v>99.95441311388431</v>
      </c>
      <c r="G21" s="771"/>
      <c r="H21" s="771"/>
      <c r="I21" s="771"/>
    </row>
    <row r="22" spans="1:9" ht="12.75">
      <c r="A22" s="1518" t="s">
        <v>1125</v>
      </c>
      <c r="B22" s="1532" t="s">
        <v>13</v>
      </c>
      <c r="C22" s="1533">
        <v>30480</v>
      </c>
      <c r="D22" s="1569">
        <v>13007</v>
      </c>
      <c r="E22" s="1569">
        <v>0</v>
      </c>
      <c r="F22" s="401">
        <f t="shared" si="0"/>
        <v>0</v>
      </c>
      <c r="G22" s="771"/>
      <c r="H22" s="771"/>
      <c r="I22" s="771"/>
    </row>
    <row r="23" spans="1:9" ht="12.75">
      <c r="A23" s="1518" t="s">
        <v>1109</v>
      </c>
      <c r="B23" s="1570" t="s">
        <v>845</v>
      </c>
      <c r="C23" s="1571">
        <v>12700</v>
      </c>
      <c r="D23" s="1569">
        <v>13163</v>
      </c>
      <c r="E23" s="1569">
        <v>431.79</v>
      </c>
      <c r="F23" s="401">
        <f t="shared" si="0"/>
        <v>3.280331231482185</v>
      </c>
      <c r="G23" s="771"/>
      <c r="H23" s="771"/>
      <c r="I23" s="771"/>
    </row>
    <row r="24" spans="1:9" ht="12.75">
      <c r="A24" s="1518" t="s">
        <v>307</v>
      </c>
      <c r="B24" s="1570" t="s">
        <v>985</v>
      </c>
      <c r="C24" s="1571">
        <v>19050</v>
      </c>
      <c r="D24" s="1569">
        <v>26361</v>
      </c>
      <c r="E24" s="1569">
        <v>6810.375</v>
      </c>
      <c r="F24" s="401">
        <f t="shared" si="0"/>
        <v>25.835040400591787</v>
      </c>
      <c r="G24" s="771"/>
      <c r="H24" s="771"/>
      <c r="I24" s="771"/>
    </row>
    <row r="25" spans="1:9" ht="12.75">
      <c r="A25" s="1518" t="s">
        <v>318</v>
      </c>
      <c r="B25" s="1532" t="s">
        <v>14</v>
      </c>
      <c r="C25" s="1533">
        <v>190500</v>
      </c>
      <c r="D25" s="1569">
        <v>453594</v>
      </c>
      <c r="E25" s="1569">
        <v>99730.92300000001</v>
      </c>
      <c r="F25" s="401">
        <f t="shared" si="0"/>
        <v>21.986825883940266</v>
      </c>
      <c r="G25" s="771"/>
      <c r="H25" s="771"/>
      <c r="I25" s="771"/>
    </row>
    <row r="26" spans="1:9" ht="12.75">
      <c r="A26" s="1518" t="s">
        <v>319</v>
      </c>
      <c r="B26" s="1570" t="s">
        <v>16</v>
      </c>
      <c r="C26" s="1571">
        <v>25400</v>
      </c>
      <c r="D26" s="1569">
        <v>26245</v>
      </c>
      <c r="E26" s="1569">
        <v>26083.655</v>
      </c>
      <c r="F26" s="401">
        <f t="shared" si="0"/>
        <v>99.38523528291103</v>
      </c>
      <c r="G26" s="771"/>
      <c r="H26" s="771"/>
      <c r="I26" s="771"/>
    </row>
    <row r="27" spans="1:9" ht="12.75">
      <c r="A27" s="1518" t="s">
        <v>308</v>
      </c>
      <c r="B27" s="1570" t="s">
        <v>846</v>
      </c>
      <c r="C27" s="1571">
        <v>95250</v>
      </c>
      <c r="D27" s="1569">
        <v>168422</v>
      </c>
      <c r="E27" s="1569">
        <v>6338.45</v>
      </c>
      <c r="F27" s="401">
        <f t="shared" si="0"/>
        <v>3.76343351818646</v>
      </c>
      <c r="G27" s="771"/>
      <c r="H27" s="771"/>
      <c r="I27" s="771"/>
    </row>
    <row r="28" spans="1:9" ht="12.75">
      <c r="A28" s="1518" t="s">
        <v>309</v>
      </c>
      <c r="B28" s="1570" t="s">
        <v>848</v>
      </c>
      <c r="C28" s="1571">
        <v>12700</v>
      </c>
      <c r="D28" s="1569">
        <v>16592</v>
      </c>
      <c r="E28" s="1569">
        <v>16463.475</v>
      </c>
      <c r="F28" s="401">
        <f t="shared" si="0"/>
        <v>99.22537970106075</v>
      </c>
      <c r="G28" s="771"/>
      <c r="H28" s="771"/>
      <c r="I28" s="771"/>
    </row>
    <row r="29" spans="1:9" ht="12.75">
      <c r="A29" s="1518" t="s">
        <v>310</v>
      </c>
      <c r="B29" s="1572" t="s">
        <v>849</v>
      </c>
      <c r="C29" s="1533">
        <v>1270</v>
      </c>
      <c r="D29" s="1569">
        <v>1310</v>
      </c>
      <c r="E29" s="1569">
        <v>39.6</v>
      </c>
      <c r="F29" s="401">
        <f t="shared" si="0"/>
        <v>3.0229007633587788</v>
      </c>
      <c r="G29" s="771"/>
      <c r="H29" s="771"/>
      <c r="I29" s="771"/>
    </row>
    <row r="30" spans="1:9" ht="12.75">
      <c r="A30" s="1518" t="s">
        <v>311</v>
      </c>
      <c r="B30" s="1573" t="s">
        <v>844</v>
      </c>
      <c r="C30" s="1574">
        <v>1270</v>
      </c>
      <c r="D30" s="1575">
        <v>3579</v>
      </c>
      <c r="E30" s="1575">
        <v>3547.218</v>
      </c>
      <c r="F30" s="401">
        <f t="shared" si="0"/>
        <v>99.11198658843252</v>
      </c>
      <c r="G30" s="771"/>
      <c r="H30" s="771"/>
      <c r="I30" s="771"/>
    </row>
    <row r="31" spans="1:9" ht="13.5" customHeight="1">
      <c r="A31" s="1518" t="s">
        <v>1043</v>
      </c>
      <c r="B31" s="1573" t="s">
        <v>689</v>
      </c>
      <c r="C31" s="1574">
        <v>25000</v>
      </c>
      <c r="D31" s="1575">
        <v>26082</v>
      </c>
      <c r="E31" s="1575">
        <v>26027.096</v>
      </c>
      <c r="F31" s="401">
        <f t="shared" si="0"/>
        <v>99.7894946706541</v>
      </c>
      <c r="G31" s="771"/>
      <c r="H31" s="771"/>
      <c r="I31" s="771"/>
    </row>
    <row r="32" spans="1:9" ht="12.75">
      <c r="A32" s="1518" t="s">
        <v>1044</v>
      </c>
      <c r="B32" s="1573" t="s">
        <v>690</v>
      </c>
      <c r="C32" s="1574">
        <v>1905</v>
      </c>
      <c r="D32" s="1575">
        <v>1905</v>
      </c>
      <c r="E32" s="1575">
        <v>1905</v>
      </c>
      <c r="F32" s="401">
        <f t="shared" si="0"/>
        <v>100</v>
      </c>
      <c r="G32" s="771"/>
      <c r="H32" s="771"/>
      <c r="I32" s="771"/>
    </row>
    <row r="33" spans="1:9" ht="12.75">
      <c r="A33" s="1518" t="s">
        <v>691</v>
      </c>
      <c r="B33" s="1573" t="s">
        <v>692</v>
      </c>
      <c r="C33" s="1574">
        <v>1905</v>
      </c>
      <c r="D33" s="1575">
        <v>1905</v>
      </c>
      <c r="E33" s="1575">
        <v>1809.75</v>
      </c>
      <c r="F33" s="401">
        <f t="shared" si="0"/>
        <v>95</v>
      </c>
      <c r="G33" s="771"/>
      <c r="H33" s="771"/>
      <c r="I33" s="771"/>
    </row>
    <row r="34" spans="1:9" ht="12.75">
      <c r="A34" s="1036" t="s">
        <v>693</v>
      </c>
      <c r="B34" s="1576" t="s">
        <v>89</v>
      </c>
      <c r="C34" s="1533">
        <v>2540</v>
      </c>
      <c r="D34" s="1569">
        <v>2540</v>
      </c>
      <c r="E34" s="1569">
        <v>0</v>
      </c>
      <c r="F34" s="401">
        <f t="shared" si="0"/>
        <v>0</v>
      </c>
      <c r="G34" s="771"/>
      <c r="H34" s="771"/>
      <c r="I34" s="771"/>
    </row>
    <row r="35" spans="1:9" ht="12.75">
      <c r="A35" s="1036" t="s">
        <v>694</v>
      </c>
      <c r="B35" s="1570" t="s">
        <v>695</v>
      </c>
      <c r="C35" s="1533">
        <v>5000</v>
      </c>
      <c r="D35" s="1569">
        <v>4326</v>
      </c>
      <c r="E35" s="1569">
        <v>4097.566</v>
      </c>
      <c r="F35" s="401">
        <f t="shared" si="0"/>
        <v>94.71950993989829</v>
      </c>
      <c r="G35" s="771"/>
      <c r="H35" s="771"/>
      <c r="I35" s="771"/>
    </row>
    <row r="36" spans="1:9" ht="12.75">
      <c r="A36" s="1036" t="s">
        <v>696</v>
      </c>
      <c r="B36" s="1570" t="s">
        <v>697</v>
      </c>
      <c r="C36" s="1533">
        <v>10000</v>
      </c>
      <c r="D36" s="1569">
        <v>25749</v>
      </c>
      <c r="E36" s="1569">
        <v>25643.939</v>
      </c>
      <c r="F36" s="401">
        <f t="shared" si="0"/>
        <v>99.59198027107848</v>
      </c>
      <c r="G36" s="771"/>
      <c r="H36" s="771"/>
      <c r="I36" s="771"/>
    </row>
    <row r="37" spans="1:9" ht="12.75">
      <c r="A37" s="1518" t="s">
        <v>698</v>
      </c>
      <c r="B37" s="1570" t="s">
        <v>847</v>
      </c>
      <c r="C37" s="1571">
        <v>0</v>
      </c>
      <c r="D37" s="1569">
        <v>5078</v>
      </c>
      <c r="E37" s="1569">
        <v>5077.422</v>
      </c>
      <c r="F37" s="401">
        <f t="shared" si="0"/>
        <v>99.98861756597086</v>
      </c>
      <c r="G37" s="771"/>
      <c r="H37" s="771"/>
      <c r="I37" s="771"/>
    </row>
    <row r="38" spans="1:9" ht="13.5" customHeight="1">
      <c r="A38" s="1518" t="s">
        <v>699</v>
      </c>
      <c r="B38" s="1532" t="s">
        <v>876</v>
      </c>
      <c r="C38" s="1533">
        <v>0</v>
      </c>
      <c r="D38" s="1569">
        <v>0</v>
      </c>
      <c r="E38" s="1569">
        <v>0</v>
      </c>
      <c r="F38" s="401">
        <v>0</v>
      </c>
      <c r="G38" s="771"/>
      <c r="H38" s="771"/>
      <c r="I38" s="771"/>
    </row>
    <row r="39" spans="1:9" ht="13.5" customHeight="1">
      <c r="A39" s="1518" t="s">
        <v>700</v>
      </c>
      <c r="B39" s="1532" t="s">
        <v>15</v>
      </c>
      <c r="C39" s="1533">
        <v>0</v>
      </c>
      <c r="D39" s="1569">
        <v>124596.535</v>
      </c>
      <c r="E39" s="1569">
        <v>122767.38</v>
      </c>
      <c r="F39" s="401">
        <f aca="true" t="shared" si="1" ref="F39:F44">E39/D39*100</f>
        <v>98.53193750532469</v>
      </c>
      <c r="G39" s="771"/>
      <c r="H39" s="771"/>
      <c r="I39" s="771"/>
    </row>
    <row r="40" spans="1:9" ht="13.5" customHeight="1">
      <c r="A40" s="1518" t="s">
        <v>701</v>
      </c>
      <c r="B40" s="1570" t="s">
        <v>31</v>
      </c>
      <c r="C40" s="1533">
        <v>0</v>
      </c>
      <c r="D40" s="1569">
        <v>149034</v>
      </c>
      <c r="E40" s="1569">
        <v>3593.2</v>
      </c>
      <c r="F40" s="401">
        <f t="shared" si="1"/>
        <v>2.4109934645785525</v>
      </c>
      <c r="G40" s="771"/>
      <c r="H40" s="771"/>
      <c r="I40" s="771"/>
    </row>
    <row r="41" spans="1:9" ht="13.5" customHeight="1">
      <c r="A41" s="1518" t="s">
        <v>702</v>
      </c>
      <c r="B41" s="1570" t="s">
        <v>986</v>
      </c>
      <c r="C41" s="1571">
        <v>0</v>
      </c>
      <c r="D41" s="1569">
        <v>2477</v>
      </c>
      <c r="E41" s="1569">
        <v>2476.5</v>
      </c>
      <c r="F41" s="401">
        <f t="shared" si="1"/>
        <v>99.97981429148163</v>
      </c>
      <c r="G41" s="771"/>
      <c r="H41" s="771"/>
      <c r="I41" s="771"/>
    </row>
    <row r="42" spans="1:9" ht="13.5" customHeight="1">
      <c r="A42" s="1518" t="s">
        <v>1195</v>
      </c>
      <c r="B42" s="1532" t="s">
        <v>1196</v>
      </c>
      <c r="C42" s="1533"/>
      <c r="D42" s="1569">
        <v>2286</v>
      </c>
      <c r="E42" s="1569">
        <v>2286</v>
      </c>
      <c r="F42" s="401">
        <f t="shared" si="1"/>
        <v>100</v>
      </c>
      <c r="G42" s="771"/>
      <c r="H42" s="771"/>
      <c r="I42" s="771"/>
    </row>
    <row r="43" spans="1:9" ht="12.75">
      <c r="A43" s="1518" t="s">
        <v>1197</v>
      </c>
      <c r="B43" s="1577" t="s">
        <v>1198</v>
      </c>
      <c r="C43" s="1533">
        <v>0</v>
      </c>
      <c r="D43" s="1569">
        <v>2667</v>
      </c>
      <c r="E43" s="1569">
        <v>2667</v>
      </c>
      <c r="F43" s="401">
        <f t="shared" si="1"/>
        <v>100</v>
      </c>
      <c r="G43" s="771"/>
      <c r="H43" s="771"/>
      <c r="I43" s="771"/>
    </row>
    <row r="44" spans="1:9" ht="12.75">
      <c r="A44" s="1518" t="s">
        <v>1199</v>
      </c>
      <c r="B44" s="1577" t="s">
        <v>1200</v>
      </c>
      <c r="C44" s="1533">
        <v>0</v>
      </c>
      <c r="D44" s="1569">
        <v>839</v>
      </c>
      <c r="E44" s="1569">
        <v>838.2</v>
      </c>
      <c r="F44" s="401">
        <f t="shared" si="1"/>
        <v>99.9046483909416</v>
      </c>
      <c r="G44" s="771"/>
      <c r="H44" s="771"/>
      <c r="I44" s="771"/>
    </row>
    <row r="45" spans="1:9" ht="12.75" hidden="1">
      <c r="A45" s="1518"/>
      <c r="B45" s="1570" t="s">
        <v>279</v>
      </c>
      <c r="C45" s="1533">
        <v>0</v>
      </c>
      <c r="D45" s="1569">
        <v>0</v>
      </c>
      <c r="E45" s="1569">
        <v>0</v>
      </c>
      <c r="F45" s="401"/>
      <c r="G45" s="771"/>
      <c r="H45" s="771"/>
      <c r="I45" s="771"/>
    </row>
    <row r="46" spans="1:9" ht="12.75" hidden="1">
      <c r="A46" s="1518"/>
      <c r="B46" s="1570" t="s">
        <v>850</v>
      </c>
      <c r="C46" s="1533"/>
      <c r="D46" s="1569">
        <v>0</v>
      </c>
      <c r="E46" s="1569">
        <v>0</v>
      </c>
      <c r="F46" s="401"/>
      <c r="G46" s="771"/>
      <c r="H46" s="771"/>
      <c r="I46" s="771"/>
    </row>
    <row r="47" spans="1:9" ht="12.75" hidden="1">
      <c r="A47" s="1518"/>
      <c r="B47" s="1532" t="s">
        <v>703</v>
      </c>
      <c r="C47" s="1533">
        <v>0</v>
      </c>
      <c r="D47" s="1569">
        <v>0</v>
      </c>
      <c r="E47" s="1569">
        <v>0</v>
      </c>
      <c r="F47" s="401"/>
      <c r="G47" s="771"/>
      <c r="H47" s="771"/>
      <c r="I47" s="771"/>
    </row>
    <row r="48" spans="1:9" ht="12.75" hidden="1">
      <c r="A48" s="1518"/>
      <c r="B48" s="1570" t="s">
        <v>704</v>
      </c>
      <c r="C48" s="1571">
        <v>0</v>
      </c>
      <c r="D48" s="1569">
        <v>0</v>
      </c>
      <c r="E48" s="1569">
        <v>0</v>
      </c>
      <c r="F48" s="401"/>
      <c r="G48" s="771"/>
      <c r="H48" s="771"/>
      <c r="I48" s="771"/>
    </row>
    <row r="49" spans="1:9" ht="14.25" customHeight="1">
      <c r="A49" s="1518"/>
      <c r="B49" s="1570"/>
      <c r="C49" s="1571"/>
      <c r="D49" s="1569"/>
      <c r="E49" s="1569"/>
      <c r="F49" s="401"/>
      <c r="G49" s="771"/>
      <c r="H49" s="771"/>
      <c r="I49" s="771"/>
    </row>
    <row r="50" spans="1:6" ht="4.5" customHeight="1">
      <c r="A50" s="1518"/>
      <c r="B50" s="1570"/>
      <c r="C50" s="1571"/>
      <c r="D50" s="1569"/>
      <c r="E50" s="1569"/>
      <c r="F50" s="401"/>
    </row>
    <row r="51" spans="1:9" ht="13.5" customHeight="1">
      <c r="A51" s="1518"/>
      <c r="B51" s="1530" t="s">
        <v>705</v>
      </c>
      <c r="C51" s="1578">
        <f>SUM(C20:C50)</f>
        <v>577210</v>
      </c>
      <c r="D51" s="1579">
        <f>SUM(D20:D50)</f>
        <v>1384667.535</v>
      </c>
      <c r="E51" s="1579">
        <f>SUM(E20:E50)</f>
        <v>623972.0329999998</v>
      </c>
      <c r="F51" s="1608">
        <f>E51/D51*100</f>
        <v>45.0629495693347</v>
      </c>
      <c r="G51" s="1611">
        <f>'4.tábla'!D31-C51</f>
        <v>0</v>
      </c>
      <c r="H51" s="1611">
        <f>'4.tábla'!E31-D51</f>
        <v>0.39999999990686774</v>
      </c>
      <c r="I51" s="1611">
        <f>'4.tábla'!F31-E51</f>
        <v>0</v>
      </c>
    </row>
    <row r="52" spans="1:9" ht="9.75" customHeight="1">
      <c r="A52" s="1518"/>
      <c r="B52" s="1530"/>
      <c r="C52" s="1578"/>
      <c r="D52" s="1579"/>
      <c r="E52" s="1579"/>
      <c r="F52" s="1579"/>
      <c r="G52" s="771"/>
      <c r="H52" s="771"/>
      <c r="I52" s="771"/>
    </row>
    <row r="53" spans="1:9" ht="13.5" customHeight="1">
      <c r="A53" s="1529">
        <v>2</v>
      </c>
      <c r="B53" s="1530" t="s">
        <v>397</v>
      </c>
      <c r="C53" s="1580"/>
      <c r="D53" s="1580"/>
      <c r="E53" s="1580"/>
      <c r="F53" s="1580"/>
      <c r="G53" s="771"/>
      <c r="H53" s="771"/>
      <c r="I53" s="771"/>
    </row>
    <row r="54" spans="1:9" ht="9.75" customHeight="1">
      <c r="A54" s="1518"/>
      <c r="B54" s="1530"/>
      <c r="C54" s="1580"/>
      <c r="D54" s="1580"/>
      <c r="E54" s="1580"/>
      <c r="F54" s="1580"/>
      <c r="G54" s="771"/>
      <c r="H54" s="771"/>
      <c r="I54" s="771"/>
    </row>
    <row r="55" spans="1:9" ht="12.75" customHeight="1">
      <c r="A55" s="1518" t="s">
        <v>171</v>
      </c>
      <c r="B55" s="1532" t="s">
        <v>287</v>
      </c>
      <c r="C55" s="1581">
        <v>4763</v>
      </c>
      <c r="D55" s="1569">
        <v>6904</v>
      </c>
      <c r="E55" s="1569">
        <v>3398.8500000000004</v>
      </c>
      <c r="F55" s="401">
        <f>E55/D55*100</f>
        <v>49.23015643105447</v>
      </c>
      <c r="G55" s="771"/>
      <c r="H55" s="771"/>
      <c r="I55" s="771"/>
    </row>
    <row r="56" spans="1:9" ht="12.75" customHeight="1">
      <c r="A56" s="1518" t="s">
        <v>529</v>
      </c>
      <c r="B56" s="1532" t="s">
        <v>288</v>
      </c>
      <c r="C56" s="1581">
        <v>0</v>
      </c>
      <c r="D56" s="1569">
        <v>4724</v>
      </c>
      <c r="E56" s="1569">
        <v>0</v>
      </c>
      <c r="F56" s="401">
        <f>E56/D56*100</f>
        <v>0</v>
      </c>
      <c r="G56" s="771"/>
      <c r="H56" s="771"/>
      <c r="I56" s="771"/>
    </row>
    <row r="57" spans="1:9" ht="12.75" customHeight="1">
      <c r="A57" s="1518" t="s">
        <v>1125</v>
      </c>
      <c r="B57" s="1532" t="s">
        <v>290</v>
      </c>
      <c r="C57" s="1581">
        <v>0</v>
      </c>
      <c r="D57" s="1569">
        <v>0</v>
      </c>
      <c r="E57" s="1569">
        <v>0</v>
      </c>
      <c r="F57" s="401">
        <v>0</v>
      </c>
      <c r="G57" s="771"/>
      <c r="H57" s="771"/>
      <c r="I57" s="771"/>
    </row>
    <row r="58" spans="1:9" ht="12.75" customHeight="1">
      <c r="A58" s="1518" t="s">
        <v>1109</v>
      </c>
      <c r="B58" s="1532" t="s">
        <v>87</v>
      </c>
      <c r="C58" s="1581">
        <v>0</v>
      </c>
      <c r="D58" s="1569">
        <v>1345</v>
      </c>
      <c r="E58" s="1569">
        <v>455.67600000000004</v>
      </c>
      <c r="F58" s="401">
        <f>E58/D58*100</f>
        <v>33.87925650557621</v>
      </c>
      <c r="G58" s="771"/>
      <c r="H58" s="771"/>
      <c r="I58" s="771"/>
    </row>
    <row r="59" spans="1:9" ht="12.75" customHeight="1">
      <c r="A59" s="1518" t="s">
        <v>307</v>
      </c>
      <c r="B59" s="1532" t="s">
        <v>286</v>
      </c>
      <c r="C59" s="1581">
        <v>0</v>
      </c>
      <c r="D59" s="1569">
        <v>178015</v>
      </c>
      <c r="E59" s="1569">
        <v>177800</v>
      </c>
      <c r="F59" s="401">
        <f>E59/D59*100</f>
        <v>99.87922366092745</v>
      </c>
      <c r="G59" s="771"/>
      <c r="H59" s="771"/>
      <c r="I59" s="771"/>
    </row>
    <row r="60" spans="1:9" ht="12.75" customHeight="1" hidden="1">
      <c r="A60" s="1518"/>
      <c r="B60" s="1532" t="s">
        <v>291</v>
      </c>
      <c r="C60" s="1581"/>
      <c r="D60" s="1569">
        <v>0</v>
      </c>
      <c r="E60" s="1569"/>
      <c r="F60" s="1569">
        <v>0</v>
      </c>
      <c r="G60" s="771"/>
      <c r="H60" s="771"/>
      <c r="I60" s="771"/>
    </row>
    <row r="61" spans="1:9" ht="12.75" customHeight="1" hidden="1">
      <c r="A61" s="1518"/>
      <c r="B61" s="1532" t="s">
        <v>706</v>
      </c>
      <c r="C61" s="1581"/>
      <c r="D61" s="1569"/>
      <c r="E61" s="1569"/>
      <c r="F61" s="1569"/>
      <c r="G61" s="771"/>
      <c r="H61" s="771"/>
      <c r="I61" s="771"/>
    </row>
    <row r="62" spans="1:9" ht="12.75" customHeight="1" hidden="1">
      <c r="A62" s="1518"/>
      <c r="B62" s="1532" t="s">
        <v>283</v>
      </c>
      <c r="C62" s="1581"/>
      <c r="D62" s="1569"/>
      <c r="E62" s="1569"/>
      <c r="F62" s="1569"/>
      <c r="G62" s="771"/>
      <c r="H62" s="771"/>
      <c r="I62" s="771"/>
    </row>
    <row r="63" spans="1:9" ht="12.75" customHeight="1" hidden="1">
      <c r="A63" s="1518"/>
      <c r="B63" s="1532"/>
      <c r="C63" s="1581"/>
      <c r="D63" s="1569"/>
      <c r="E63" s="1569"/>
      <c r="F63" s="1569"/>
      <c r="G63" s="771"/>
      <c r="H63" s="771"/>
      <c r="I63" s="771"/>
    </row>
    <row r="64" spans="1:9" ht="4.5" customHeight="1">
      <c r="A64" s="1518"/>
      <c r="B64" s="1530"/>
      <c r="C64" s="1580"/>
      <c r="D64" s="1580"/>
      <c r="E64" s="1580"/>
      <c r="F64" s="1580"/>
      <c r="G64" s="771"/>
      <c r="H64" s="771"/>
      <c r="I64" s="771"/>
    </row>
    <row r="65" spans="1:9" ht="13.5" customHeight="1">
      <c r="A65" s="1518"/>
      <c r="B65" s="1530" t="s">
        <v>707</v>
      </c>
      <c r="C65" s="1580">
        <f>SUM(C55:C64)</f>
        <v>4763</v>
      </c>
      <c r="D65" s="1580">
        <f>SUM(D55:D64)</f>
        <v>190988</v>
      </c>
      <c r="E65" s="1580">
        <f>SUM(E55:E64)</f>
        <v>181654.526</v>
      </c>
      <c r="F65" s="1610">
        <f>E65/D65*100</f>
        <v>95.11305736486064</v>
      </c>
      <c r="G65" s="1611">
        <f>'4.tábla'!G31-C65</f>
        <v>0</v>
      </c>
      <c r="H65" s="1611">
        <f>'4.tábla'!H31-D65</f>
        <v>0</v>
      </c>
      <c r="I65" s="1611">
        <f>'4.tábla'!I31-E65</f>
        <v>0</v>
      </c>
    </row>
    <row r="66" spans="1:9" ht="6.75" customHeight="1">
      <c r="A66" s="1518"/>
      <c r="B66" s="1530"/>
      <c r="C66" s="1580"/>
      <c r="D66" s="1580"/>
      <c r="E66" s="1580"/>
      <c r="F66" s="1580"/>
      <c r="G66" s="771"/>
      <c r="H66" s="771"/>
      <c r="I66" s="771"/>
    </row>
    <row r="67" spans="1:9" ht="12.75" customHeight="1">
      <c r="A67" s="1529">
        <v>3</v>
      </c>
      <c r="B67" s="1530" t="s">
        <v>1085</v>
      </c>
      <c r="C67" s="1580"/>
      <c r="D67" s="1580"/>
      <c r="E67" s="1580"/>
      <c r="F67" s="1580"/>
      <c r="G67" s="771"/>
      <c r="H67" s="771"/>
      <c r="I67" s="771"/>
    </row>
    <row r="68" spans="1:9" ht="6.75" customHeight="1">
      <c r="A68" s="1529"/>
      <c r="B68" s="1530"/>
      <c r="C68" s="1580"/>
      <c r="D68" s="1580"/>
      <c r="E68" s="1580"/>
      <c r="F68" s="1580"/>
      <c r="G68" s="771"/>
      <c r="H68" s="771"/>
      <c r="I68" s="771"/>
    </row>
    <row r="69" spans="1:9" ht="12.75" customHeight="1">
      <c r="A69" s="1518" t="s">
        <v>171</v>
      </c>
      <c r="B69" s="1582" t="s">
        <v>708</v>
      </c>
      <c r="C69" s="1533">
        <v>0</v>
      </c>
      <c r="D69" s="1569">
        <v>3810</v>
      </c>
      <c r="E69" s="1569">
        <v>3810</v>
      </c>
      <c r="F69" s="401">
        <f>E69/D69*100</f>
        <v>100</v>
      </c>
      <c r="G69" s="771"/>
      <c r="H69" s="771"/>
      <c r="I69" s="771"/>
    </row>
    <row r="70" spans="1:9" ht="6.75" customHeight="1">
      <c r="A70" s="1518"/>
      <c r="B70" s="1530"/>
      <c r="C70" s="1580"/>
      <c r="D70" s="1580"/>
      <c r="E70" s="1580"/>
      <c r="F70" s="1580"/>
      <c r="G70" s="771"/>
      <c r="H70" s="771"/>
      <c r="I70" s="771"/>
    </row>
    <row r="71" spans="1:9" ht="12.75" customHeight="1">
      <c r="A71" s="1518"/>
      <c r="B71" s="1530" t="s">
        <v>709</v>
      </c>
      <c r="C71" s="1580">
        <f>SUM(C69:C70)</f>
        <v>0</v>
      </c>
      <c r="D71" s="1580">
        <f>SUM(D69:D70)</f>
        <v>3810</v>
      </c>
      <c r="E71" s="1580">
        <f>SUM(E69:E70)</f>
        <v>3810</v>
      </c>
      <c r="F71" s="1610">
        <f>E71/D71*100</f>
        <v>100</v>
      </c>
      <c r="G71" s="1611">
        <f>'4.tábla'!J31-C71</f>
        <v>0</v>
      </c>
      <c r="H71" s="1611">
        <f>'4.tábla'!K31-D71</f>
        <v>0</v>
      </c>
      <c r="I71" s="1611">
        <f>'4.tábla'!L31-E71</f>
        <v>0</v>
      </c>
    </row>
    <row r="72" spans="1:9" ht="6.75" customHeight="1">
      <c r="A72" s="1518"/>
      <c r="B72" s="1530"/>
      <c r="C72" s="1580"/>
      <c r="D72" s="1580"/>
      <c r="E72" s="1580"/>
      <c r="F72" s="1580"/>
      <c r="G72" s="771"/>
      <c r="H72" s="771"/>
      <c r="I72" s="771"/>
    </row>
    <row r="73" spans="1:9" ht="12.75" customHeight="1">
      <c r="A73" s="1529">
        <v>4</v>
      </c>
      <c r="B73" s="1530" t="s">
        <v>657</v>
      </c>
      <c r="C73" s="1580"/>
      <c r="D73" s="1580"/>
      <c r="E73" s="1580"/>
      <c r="F73" s="1580"/>
      <c r="G73" s="771"/>
      <c r="H73" s="771"/>
      <c r="I73" s="771"/>
    </row>
    <row r="74" spans="1:9" ht="6.75" customHeight="1">
      <c r="A74" s="1518"/>
      <c r="B74" s="1530"/>
      <c r="C74" s="1580"/>
      <c r="D74" s="1580"/>
      <c r="E74" s="1580"/>
      <c r="F74" s="1580"/>
      <c r="G74" s="771"/>
      <c r="H74" s="771"/>
      <c r="I74" s="771"/>
    </row>
    <row r="75" spans="1:9" ht="12.75" customHeight="1">
      <c r="A75" s="1529">
        <v>5</v>
      </c>
      <c r="B75" s="1530" t="s">
        <v>658</v>
      </c>
      <c r="C75" s="1580"/>
      <c r="D75" s="1580"/>
      <c r="E75" s="1580"/>
      <c r="F75" s="1580"/>
      <c r="G75" s="771"/>
      <c r="H75" s="771"/>
      <c r="I75" s="771"/>
    </row>
    <row r="76" spans="1:9" ht="6.75" customHeight="1">
      <c r="A76" s="1518"/>
      <c r="B76" s="1530"/>
      <c r="C76" s="1580"/>
      <c r="D76" s="1580"/>
      <c r="E76" s="1580"/>
      <c r="F76" s="1580"/>
      <c r="G76" s="771"/>
      <c r="H76" s="771"/>
      <c r="I76" s="771"/>
    </row>
    <row r="77" spans="1:9" ht="12.75" customHeight="1">
      <c r="A77" s="1529">
        <v>6</v>
      </c>
      <c r="B77" s="1530" t="s">
        <v>1089</v>
      </c>
      <c r="C77" s="1580"/>
      <c r="D77" s="1580"/>
      <c r="E77" s="1580"/>
      <c r="F77" s="1580"/>
      <c r="G77" s="771"/>
      <c r="H77" s="771"/>
      <c r="I77" s="771"/>
    </row>
    <row r="78" spans="1:9" ht="4.5" customHeight="1">
      <c r="A78" s="1518"/>
      <c r="B78" s="1530"/>
      <c r="C78" s="1580"/>
      <c r="D78" s="1580"/>
      <c r="E78" s="1580"/>
      <c r="F78" s="1580"/>
      <c r="G78" s="771"/>
      <c r="H78" s="771"/>
      <c r="I78" s="771"/>
    </row>
    <row r="79" spans="1:9" ht="12.75" customHeight="1">
      <c r="A79" s="1518" t="s">
        <v>171</v>
      </c>
      <c r="B79" s="1532" t="s">
        <v>407</v>
      </c>
      <c r="C79" s="1581">
        <v>36195</v>
      </c>
      <c r="D79" s="1569">
        <v>65059</v>
      </c>
      <c r="E79" s="1569">
        <v>27969.722</v>
      </c>
      <c r="F79" s="401">
        <f>E79/D79*100</f>
        <v>42.99131864922609</v>
      </c>
      <c r="G79" s="771"/>
      <c r="H79" s="771"/>
      <c r="I79" s="771"/>
    </row>
    <row r="80" spans="1:9" ht="12.75" customHeight="1">
      <c r="A80" s="1518" t="s">
        <v>529</v>
      </c>
      <c r="B80" s="1583" t="s">
        <v>199</v>
      </c>
      <c r="C80" s="1533">
        <v>0</v>
      </c>
      <c r="D80" s="1569">
        <v>774</v>
      </c>
      <c r="E80" s="1569">
        <v>0</v>
      </c>
      <c r="F80" s="401">
        <f>E80/D80*100</f>
        <v>0</v>
      </c>
      <c r="G80" s="771"/>
      <c r="H80" s="771"/>
      <c r="I80" s="771"/>
    </row>
    <row r="81" spans="1:9" ht="12.75" customHeight="1">
      <c r="A81" s="1518" t="s">
        <v>1125</v>
      </c>
      <c r="B81" s="1584" t="s">
        <v>710</v>
      </c>
      <c r="C81" s="1533">
        <v>0</v>
      </c>
      <c r="D81" s="1569">
        <v>0</v>
      </c>
      <c r="E81" s="1569">
        <v>0</v>
      </c>
      <c r="F81" s="401">
        <v>0</v>
      </c>
      <c r="G81" s="771"/>
      <c r="H81" s="771"/>
      <c r="I81" s="771"/>
    </row>
    <row r="82" spans="1:9" ht="4.5" customHeight="1">
      <c r="A82" s="1518"/>
      <c r="B82" s="1532"/>
      <c r="C82" s="1581"/>
      <c r="D82" s="1569"/>
      <c r="E82" s="1569"/>
      <c r="F82" s="1569"/>
      <c r="G82" s="771"/>
      <c r="H82" s="771"/>
      <c r="I82" s="771"/>
    </row>
    <row r="83" spans="1:9" ht="12.75" customHeight="1">
      <c r="A83" s="1518"/>
      <c r="B83" s="1530" t="s">
        <v>711</v>
      </c>
      <c r="C83" s="1580">
        <f>SUM(C79:C82)</f>
        <v>36195</v>
      </c>
      <c r="D83" s="1580">
        <f>SUM(D79:D81)</f>
        <v>65833</v>
      </c>
      <c r="E83" s="1580">
        <f>SUM(E79:E81)</f>
        <v>27969.722</v>
      </c>
      <c r="F83" s="1610">
        <f>E83/D83*100</f>
        <v>42.485868789209064</v>
      </c>
      <c r="G83" s="1611">
        <f>'4.tábla'!S31-C83</f>
        <v>0</v>
      </c>
      <c r="H83" s="1611">
        <f>'4.tábla'!T31-D83</f>
        <v>0</v>
      </c>
      <c r="I83" s="1611">
        <f>'4.tábla'!U31-E83</f>
        <v>0</v>
      </c>
    </row>
    <row r="84" spans="1:9" ht="6.75" customHeight="1">
      <c r="A84" s="1518"/>
      <c r="B84" s="1530"/>
      <c r="C84" s="1580"/>
      <c r="D84" s="1580"/>
      <c r="E84" s="1580"/>
      <c r="F84" s="1580"/>
      <c r="G84" s="771"/>
      <c r="H84" s="771"/>
      <c r="I84" s="771"/>
    </row>
    <row r="85" spans="1:9" ht="12.75" customHeight="1">
      <c r="A85" s="1529">
        <v>7</v>
      </c>
      <c r="B85" s="1530" t="s">
        <v>1090</v>
      </c>
      <c r="C85" s="1580"/>
      <c r="D85" s="1580"/>
      <c r="E85" s="1580"/>
      <c r="F85" s="1580"/>
      <c r="G85" s="771"/>
      <c r="H85" s="771"/>
      <c r="I85" s="771"/>
    </row>
    <row r="86" spans="1:9" ht="9.75" customHeight="1">
      <c r="A86" s="1518"/>
      <c r="B86" s="1530"/>
      <c r="C86" s="1580"/>
      <c r="D86" s="1580"/>
      <c r="E86" s="1580"/>
      <c r="F86" s="1580"/>
      <c r="G86" s="771"/>
      <c r="H86" s="771"/>
      <c r="I86" s="771"/>
    </row>
    <row r="87" spans="1:9" ht="12.75" customHeight="1">
      <c r="A87" s="1518" t="s">
        <v>171</v>
      </c>
      <c r="B87" s="1585" t="s">
        <v>196</v>
      </c>
      <c r="C87" s="1533">
        <v>459722</v>
      </c>
      <c r="D87" s="1569">
        <v>309072</v>
      </c>
      <c r="E87" s="1569">
        <v>11023.58</v>
      </c>
      <c r="F87" s="401">
        <f aca="true" t="shared" si="2" ref="F87:F94">E87/D87*100</f>
        <v>3.566670549257131</v>
      </c>
      <c r="G87" s="771"/>
      <c r="H87" s="771"/>
      <c r="I87" s="771"/>
    </row>
    <row r="88" spans="1:9" ht="12.75" customHeight="1">
      <c r="A88" s="1518" t="s">
        <v>529</v>
      </c>
      <c r="B88" s="1585" t="s">
        <v>712</v>
      </c>
      <c r="C88" s="1533">
        <v>52397</v>
      </c>
      <c r="D88" s="1569">
        <v>105926</v>
      </c>
      <c r="E88" s="1569">
        <v>105214.397</v>
      </c>
      <c r="F88" s="401">
        <f t="shared" si="2"/>
        <v>99.32820742782698</v>
      </c>
      <c r="G88" s="771"/>
      <c r="H88" s="771"/>
      <c r="I88" s="771"/>
    </row>
    <row r="89" spans="1:9" ht="12.75" customHeight="1">
      <c r="A89" s="1518" t="s">
        <v>1125</v>
      </c>
      <c r="B89" s="1585" t="s">
        <v>713</v>
      </c>
      <c r="C89" s="1533">
        <v>305864</v>
      </c>
      <c r="D89" s="1569">
        <v>572060</v>
      </c>
      <c r="E89" s="1569">
        <v>570534.96</v>
      </c>
      <c r="F89" s="401">
        <f t="shared" si="2"/>
        <v>99.73341257910009</v>
      </c>
      <c r="G89" s="771"/>
      <c r="H89" s="771"/>
      <c r="I89" s="771"/>
    </row>
    <row r="90" spans="1:9" ht="12.75" customHeight="1">
      <c r="A90" s="1518" t="s">
        <v>1109</v>
      </c>
      <c r="B90" s="1585" t="s">
        <v>714</v>
      </c>
      <c r="C90" s="1533">
        <v>3210</v>
      </c>
      <c r="D90" s="1569">
        <v>3210</v>
      </c>
      <c r="E90" s="1569">
        <v>0</v>
      </c>
      <c r="F90" s="401">
        <f t="shared" si="2"/>
        <v>0</v>
      </c>
      <c r="G90" s="771"/>
      <c r="H90" s="771"/>
      <c r="I90" s="771"/>
    </row>
    <row r="91" spans="1:9" ht="12.75" customHeight="1">
      <c r="A91" s="1518" t="s">
        <v>307</v>
      </c>
      <c r="B91" s="1585" t="s">
        <v>715</v>
      </c>
      <c r="C91" s="1533"/>
      <c r="D91" s="1569">
        <v>505</v>
      </c>
      <c r="E91" s="1569">
        <v>304.8</v>
      </c>
      <c r="F91" s="401">
        <f t="shared" si="2"/>
        <v>60.35643564356435</v>
      </c>
      <c r="G91" s="771"/>
      <c r="H91" s="771"/>
      <c r="I91" s="771"/>
    </row>
    <row r="92" spans="1:9" ht="12.75" customHeight="1">
      <c r="A92" s="1518" t="s">
        <v>318</v>
      </c>
      <c r="B92" s="1585" t="s">
        <v>716</v>
      </c>
      <c r="C92" s="1533"/>
      <c r="D92" s="1569">
        <v>47048</v>
      </c>
      <c r="E92" s="1569">
        <v>41875.738</v>
      </c>
      <c r="F92" s="401">
        <f t="shared" si="2"/>
        <v>89.00641472538683</v>
      </c>
      <c r="G92" s="771"/>
      <c r="H92" s="771"/>
      <c r="I92" s="771"/>
    </row>
    <row r="93" spans="1:9" ht="12.75" customHeight="1">
      <c r="A93" s="1518" t="s">
        <v>319</v>
      </c>
      <c r="B93" s="1585" t="s">
        <v>717</v>
      </c>
      <c r="C93" s="1533"/>
      <c r="D93" s="1569">
        <v>8169</v>
      </c>
      <c r="E93" s="1569">
        <v>8166.1</v>
      </c>
      <c r="F93" s="401">
        <f t="shared" si="2"/>
        <v>99.96449993879301</v>
      </c>
      <c r="G93" s="771"/>
      <c r="H93" s="771"/>
      <c r="I93" s="771"/>
    </row>
    <row r="94" spans="1:9" ht="12.75" customHeight="1">
      <c r="A94" s="1518" t="s">
        <v>308</v>
      </c>
      <c r="B94" s="1585" t="s">
        <v>718</v>
      </c>
      <c r="C94" s="1533"/>
      <c r="D94" s="1569">
        <v>4826</v>
      </c>
      <c r="E94" s="1569">
        <v>4826</v>
      </c>
      <c r="F94" s="401">
        <f t="shared" si="2"/>
        <v>100</v>
      </c>
      <c r="G94" s="771"/>
      <c r="H94" s="771"/>
      <c r="I94" s="771"/>
    </row>
    <row r="95" spans="1:9" ht="12.75" customHeight="1" hidden="1">
      <c r="A95" s="1518"/>
      <c r="B95" s="1585"/>
      <c r="C95" s="1533"/>
      <c r="D95" s="1569"/>
      <c r="E95" s="1569"/>
      <c r="F95" s="401"/>
      <c r="G95" s="771"/>
      <c r="H95" s="771"/>
      <c r="I95" s="771"/>
    </row>
    <row r="96" spans="1:9" ht="4.5" customHeight="1">
      <c r="A96" s="1518"/>
      <c r="B96" s="1586"/>
      <c r="C96" s="1533"/>
      <c r="D96" s="1569"/>
      <c r="E96" s="1569"/>
      <c r="F96" s="401"/>
      <c r="G96" s="771"/>
      <c r="H96" s="771"/>
      <c r="I96" s="771"/>
    </row>
    <row r="97" spans="1:9" ht="12.75" customHeight="1">
      <c r="A97" s="1510"/>
      <c r="B97" s="1530" t="s">
        <v>719</v>
      </c>
      <c r="C97" s="1579">
        <f>SUM(C87:C96)</f>
        <v>821193</v>
      </c>
      <c r="D97" s="1579">
        <f>SUM(D87:D96)</f>
        <v>1050816</v>
      </c>
      <c r="E97" s="1579">
        <f>SUM(E87:E96)</f>
        <v>741945.575</v>
      </c>
      <c r="F97" s="1608">
        <f>E97/D97*100</f>
        <v>70.60661190922102</v>
      </c>
      <c r="G97" s="1611">
        <f>'4.tábla'!V31-C97</f>
        <v>0</v>
      </c>
      <c r="H97" s="1611">
        <f>'4.tábla'!W31-D97</f>
        <v>0</v>
      </c>
      <c r="I97" s="1611">
        <f>'4.tábla'!X31-E97</f>
        <v>0</v>
      </c>
    </row>
    <row r="98" spans="1:9" ht="7.5" customHeight="1" thickBot="1">
      <c r="A98" s="1556"/>
      <c r="B98" s="1588"/>
      <c r="C98" s="1589"/>
      <c r="D98" s="1589"/>
      <c r="E98" s="1589"/>
      <c r="F98" s="1589"/>
      <c r="G98" s="771"/>
      <c r="H98" s="771"/>
      <c r="I98" s="771"/>
    </row>
    <row r="99" spans="1:9" ht="7.5" customHeight="1">
      <c r="A99" s="1518"/>
      <c r="B99" s="1530"/>
      <c r="C99" s="1580"/>
      <c r="D99" s="1580"/>
      <c r="E99" s="1580"/>
      <c r="F99" s="1580"/>
      <c r="G99" s="771"/>
      <c r="H99" s="771"/>
      <c r="I99" s="771"/>
    </row>
    <row r="100" spans="1:9" ht="12.75" customHeight="1">
      <c r="A100" s="1529">
        <v>8</v>
      </c>
      <c r="B100" s="1530" t="s">
        <v>659</v>
      </c>
      <c r="C100" s="1580"/>
      <c r="D100" s="1580"/>
      <c r="E100" s="1580"/>
      <c r="F100" s="1580"/>
      <c r="G100" s="771"/>
      <c r="H100" s="771"/>
      <c r="I100" s="771"/>
    </row>
    <row r="101" spans="1:9" ht="7.5" customHeight="1">
      <c r="A101" s="1518"/>
      <c r="B101" s="1530"/>
      <c r="C101" s="1580"/>
      <c r="D101" s="1580"/>
      <c r="E101" s="1580"/>
      <c r="F101" s="1580"/>
      <c r="G101" s="771"/>
      <c r="H101" s="771"/>
      <c r="I101" s="771"/>
    </row>
    <row r="102" spans="1:9" ht="12.75" customHeight="1">
      <c r="A102" s="1518" t="s">
        <v>171</v>
      </c>
      <c r="B102" s="1532" t="s">
        <v>197</v>
      </c>
      <c r="C102" s="1533">
        <v>147804</v>
      </c>
      <c r="D102" s="1534">
        <v>212713</v>
      </c>
      <c r="E102" s="1534">
        <v>195147.80700000003</v>
      </c>
      <c r="F102" s="401">
        <f>E102/D102*100</f>
        <v>91.74230394945303</v>
      </c>
      <c r="G102" s="771"/>
      <c r="H102" s="771"/>
      <c r="I102" s="771"/>
    </row>
    <row r="103" spans="1:9" ht="12.75" customHeight="1">
      <c r="A103" s="1518" t="s">
        <v>529</v>
      </c>
      <c r="B103" s="1532" t="s">
        <v>720</v>
      </c>
      <c r="C103" s="1533"/>
      <c r="D103" s="1534">
        <v>0</v>
      </c>
      <c r="E103" s="1534">
        <v>0</v>
      </c>
      <c r="F103" s="401">
        <v>0</v>
      </c>
      <c r="G103" s="771"/>
      <c r="H103" s="771"/>
      <c r="I103" s="771"/>
    </row>
    <row r="104" spans="1:9" ht="12.75" customHeight="1" hidden="1">
      <c r="A104" s="1518"/>
      <c r="B104" s="1532" t="s">
        <v>721</v>
      </c>
      <c r="C104" s="1533">
        <v>0</v>
      </c>
      <c r="D104" s="1534">
        <v>0</v>
      </c>
      <c r="E104" s="1534"/>
      <c r="F104" s="401"/>
      <c r="G104" s="771"/>
      <c r="H104" s="771"/>
      <c r="I104" s="771"/>
    </row>
    <row r="105" spans="1:9" ht="4.5" customHeight="1">
      <c r="A105" s="1518"/>
      <c r="B105" s="1532"/>
      <c r="C105" s="1533"/>
      <c r="D105" s="1569"/>
      <c r="E105" s="1569"/>
      <c r="F105" s="401"/>
      <c r="G105" s="771"/>
      <c r="H105" s="771"/>
      <c r="I105" s="771"/>
    </row>
    <row r="106" spans="1:9" ht="12.75" customHeight="1">
      <c r="A106" s="1587"/>
      <c r="B106" s="1530" t="s">
        <v>722</v>
      </c>
      <c r="C106" s="1536">
        <f>SUM(C102:C105)</f>
        <v>147804</v>
      </c>
      <c r="D106" s="1537">
        <f>SUM(D102:D105)</f>
        <v>212713</v>
      </c>
      <c r="E106" s="1537">
        <f>SUM(E102:E105)</f>
        <v>195147.80700000003</v>
      </c>
      <c r="F106" s="1609">
        <f>E106/D106*100</f>
        <v>91.74230394945303</v>
      </c>
      <c r="G106" s="1611">
        <f>'4.tábla'!Y31-C106</f>
        <v>0</v>
      </c>
      <c r="H106" s="1611">
        <f>'4.tábla'!Z31-D106</f>
        <v>0</v>
      </c>
      <c r="I106" s="1611">
        <f>'4.tábla'!AA31-E106</f>
        <v>0</v>
      </c>
    </row>
    <row r="107" spans="1:9" ht="7.5" customHeight="1">
      <c r="A107" s="1518"/>
      <c r="B107" s="1530"/>
      <c r="C107" s="1580"/>
      <c r="D107" s="1580"/>
      <c r="E107" s="1580"/>
      <c r="F107" s="1580"/>
      <c r="G107" s="771"/>
      <c r="H107" s="771"/>
      <c r="I107" s="771"/>
    </row>
    <row r="108" spans="1:9" ht="12.75" customHeight="1">
      <c r="A108" s="1529">
        <v>9</v>
      </c>
      <c r="B108" s="1530" t="s">
        <v>1091</v>
      </c>
      <c r="C108" s="1580"/>
      <c r="D108" s="1580"/>
      <c r="E108" s="1580"/>
      <c r="F108" s="1580"/>
      <c r="G108" s="771"/>
      <c r="H108" s="771"/>
      <c r="I108" s="771"/>
    </row>
    <row r="109" spans="1:9" ht="7.5" customHeight="1">
      <c r="A109" s="1529"/>
      <c r="B109" s="1530"/>
      <c r="C109" s="1580"/>
      <c r="D109" s="1580"/>
      <c r="E109" s="1580"/>
      <c r="F109" s="1580"/>
      <c r="G109" s="771"/>
      <c r="H109" s="771"/>
      <c r="I109" s="771"/>
    </row>
    <row r="110" spans="1:9" ht="12.75" customHeight="1">
      <c r="A110" s="1529">
        <v>10</v>
      </c>
      <c r="B110" s="1530" t="s">
        <v>660</v>
      </c>
      <c r="C110" s="1580"/>
      <c r="D110" s="1580"/>
      <c r="E110" s="1580"/>
      <c r="F110" s="1580"/>
      <c r="G110" s="771"/>
      <c r="H110" s="771"/>
      <c r="I110" s="771"/>
    </row>
    <row r="111" spans="1:9" ht="7.5" customHeight="1">
      <c r="A111" s="1529"/>
      <c r="B111" s="1530"/>
      <c r="C111" s="1580"/>
      <c r="D111" s="1580"/>
      <c r="E111" s="1580"/>
      <c r="F111" s="1580"/>
      <c r="G111" s="771"/>
      <c r="H111" s="771"/>
      <c r="I111" s="771"/>
    </row>
    <row r="112" spans="1:9" ht="12.75" customHeight="1">
      <c r="A112" s="1529">
        <v>11</v>
      </c>
      <c r="B112" s="1530" t="s">
        <v>1092</v>
      </c>
      <c r="C112" s="1580"/>
      <c r="D112" s="1580"/>
      <c r="E112" s="1580"/>
      <c r="F112" s="1580"/>
      <c r="G112" s="771"/>
      <c r="H112" s="771"/>
      <c r="I112" s="771"/>
    </row>
    <row r="113" spans="1:9" ht="7.5" customHeight="1">
      <c r="A113" s="1529"/>
      <c r="B113" s="1530"/>
      <c r="C113" s="1580"/>
      <c r="D113" s="1580"/>
      <c r="E113" s="1580"/>
      <c r="F113" s="1580"/>
      <c r="G113" s="771"/>
      <c r="H113" s="771"/>
      <c r="I113" s="771"/>
    </row>
    <row r="114" spans="1:9" ht="12.75" customHeight="1">
      <c r="A114" s="1529">
        <v>12</v>
      </c>
      <c r="B114" s="1530" t="s">
        <v>663</v>
      </c>
      <c r="C114" s="1580"/>
      <c r="D114" s="1580"/>
      <c r="E114" s="1580"/>
      <c r="F114" s="1580"/>
      <c r="G114" s="771"/>
      <c r="H114" s="771"/>
      <c r="I114" s="771"/>
    </row>
    <row r="115" spans="1:9" ht="7.5" customHeight="1">
      <c r="A115" s="1529"/>
      <c r="B115" s="1530"/>
      <c r="C115" s="1580"/>
      <c r="D115" s="1580"/>
      <c r="E115" s="1580"/>
      <c r="F115" s="1580"/>
      <c r="G115" s="771"/>
      <c r="H115" s="771"/>
      <c r="I115" s="771"/>
    </row>
    <row r="116" spans="1:9" ht="12.75" customHeight="1">
      <c r="A116" s="1529">
        <v>13</v>
      </c>
      <c r="B116" s="1530" t="s">
        <v>1094</v>
      </c>
      <c r="C116" s="1580"/>
      <c r="D116" s="1580"/>
      <c r="E116" s="1580"/>
      <c r="F116" s="1580"/>
      <c r="G116" s="771"/>
      <c r="H116" s="771"/>
      <c r="I116" s="771"/>
    </row>
    <row r="117" spans="1:9" ht="7.5" customHeight="1">
      <c r="A117" s="1529"/>
      <c r="B117" s="1530"/>
      <c r="C117" s="1580"/>
      <c r="D117" s="1580"/>
      <c r="E117" s="1580"/>
      <c r="F117" s="1580"/>
      <c r="G117" s="771"/>
      <c r="H117" s="771"/>
      <c r="I117" s="771"/>
    </row>
    <row r="118" spans="1:9" ht="12.75" customHeight="1">
      <c r="A118" s="1518" t="s">
        <v>171</v>
      </c>
      <c r="B118" s="1532" t="s">
        <v>1201</v>
      </c>
      <c r="C118" s="1533"/>
      <c r="D118" s="1534">
        <v>2667</v>
      </c>
      <c r="E118" s="1534">
        <v>0</v>
      </c>
      <c r="F118" s="401">
        <f>E118/D118*100</f>
        <v>0</v>
      </c>
      <c r="G118" s="771"/>
      <c r="H118" s="771"/>
      <c r="I118" s="771"/>
    </row>
    <row r="119" spans="1:9" ht="12.75" customHeight="1">
      <c r="A119" s="1518" t="s">
        <v>529</v>
      </c>
      <c r="B119" s="1532" t="s">
        <v>1202</v>
      </c>
      <c r="C119" s="1533"/>
      <c r="D119" s="1534">
        <v>3429</v>
      </c>
      <c r="E119" s="1534">
        <v>0</v>
      </c>
      <c r="F119" s="401">
        <v>0</v>
      </c>
      <c r="G119" s="771"/>
      <c r="H119" s="771"/>
      <c r="I119" s="771"/>
    </row>
    <row r="120" spans="1:9" ht="4.5" customHeight="1">
      <c r="A120" s="1529"/>
      <c r="B120" s="1530"/>
      <c r="C120" s="1580"/>
      <c r="D120" s="1580"/>
      <c r="E120" s="1580"/>
      <c r="F120" s="1580"/>
      <c r="G120" s="771"/>
      <c r="H120" s="771"/>
      <c r="I120" s="771"/>
    </row>
    <row r="121" spans="1:9" ht="12.75" customHeight="1">
      <c r="A121" s="1529"/>
      <c r="B121" s="1530" t="s">
        <v>1203</v>
      </c>
      <c r="C121" s="1536">
        <f>SUM(C117:C120)</f>
        <v>0</v>
      </c>
      <c r="D121" s="1537">
        <f>SUM(D117:D120)</f>
        <v>6096</v>
      </c>
      <c r="E121" s="1537">
        <f>SUM(E117:E120)</f>
        <v>0</v>
      </c>
      <c r="F121" s="1609">
        <f>E121/D121*100</f>
        <v>0</v>
      </c>
      <c r="G121" s="771"/>
      <c r="H121" s="771"/>
      <c r="I121" s="771"/>
    </row>
    <row r="122" spans="1:9" ht="7.5" customHeight="1">
      <c r="A122" s="1529"/>
      <c r="B122" s="1530"/>
      <c r="C122" s="1580"/>
      <c r="D122" s="1580"/>
      <c r="E122" s="1580"/>
      <c r="F122" s="1580"/>
      <c r="G122" s="771"/>
      <c r="H122" s="771"/>
      <c r="I122" s="771"/>
    </row>
    <row r="123" spans="1:9" ht="15" customHeight="1">
      <c r="A123" s="1590">
        <v>14</v>
      </c>
      <c r="B123" s="1591" t="s">
        <v>1095</v>
      </c>
      <c r="C123" s="1580"/>
      <c r="D123" s="1580"/>
      <c r="E123" s="1580"/>
      <c r="F123" s="1580"/>
      <c r="G123" s="771"/>
      <c r="H123" s="771"/>
      <c r="I123" s="771"/>
    </row>
    <row r="124" spans="1:9" ht="7.5" customHeight="1">
      <c r="A124" s="1529"/>
      <c r="B124" s="1530"/>
      <c r="C124" s="1580"/>
      <c r="D124" s="1580"/>
      <c r="E124" s="1580"/>
      <c r="F124" s="1580"/>
      <c r="G124" s="771"/>
      <c r="H124" s="771"/>
      <c r="I124" s="771"/>
    </row>
    <row r="125" spans="1:9" ht="12.75" customHeight="1">
      <c r="A125" s="1529">
        <v>15</v>
      </c>
      <c r="B125" s="1530" t="s">
        <v>1096</v>
      </c>
      <c r="C125" s="1580"/>
      <c r="D125" s="1580"/>
      <c r="E125" s="1580"/>
      <c r="F125" s="1580"/>
      <c r="G125" s="771"/>
      <c r="H125" s="771"/>
      <c r="I125" s="771"/>
    </row>
    <row r="126" spans="1:9" ht="7.5" customHeight="1">
      <c r="A126" s="1518"/>
      <c r="B126" s="1530"/>
      <c r="C126" s="1580"/>
      <c r="D126" s="1580"/>
      <c r="E126" s="1580"/>
      <c r="F126" s="1580"/>
      <c r="G126" s="771"/>
      <c r="H126" s="771"/>
      <c r="I126" s="771"/>
    </row>
    <row r="127" spans="1:9" ht="12.75" customHeight="1">
      <c r="A127" s="1529">
        <v>16</v>
      </c>
      <c r="B127" s="1530" t="s">
        <v>664</v>
      </c>
      <c r="C127" s="1580"/>
      <c r="D127" s="1580"/>
      <c r="E127" s="1580"/>
      <c r="F127" s="1580"/>
      <c r="G127" s="771"/>
      <c r="H127" s="771"/>
      <c r="I127" s="771"/>
    </row>
    <row r="128" spans="1:9" ht="7.5" customHeight="1">
      <c r="A128" s="1518"/>
      <c r="B128" s="1530"/>
      <c r="C128" s="1578"/>
      <c r="D128" s="1579"/>
      <c r="E128" s="1579"/>
      <c r="F128" s="1579"/>
      <c r="G128" s="771"/>
      <c r="H128" s="771"/>
      <c r="I128" s="771"/>
    </row>
    <row r="129" spans="1:9" ht="12.75" customHeight="1">
      <c r="A129" s="1518" t="s">
        <v>171</v>
      </c>
      <c r="B129" s="1592" t="s">
        <v>723</v>
      </c>
      <c r="C129" s="1593">
        <v>7643</v>
      </c>
      <c r="D129" s="1594">
        <v>7643</v>
      </c>
      <c r="E129" s="1594">
        <v>0</v>
      </c>
      <c r="F129" s="401">
        <f>E129/D129*100</f>
        <v>0</v>
      </c>
      <c r="G129" s="771"/>
      <c r="H129" s="771"/>
      <c r="I129" s="771"/>
    </row>
    <row r="130" spans="1:9" ht="12.75" customHeight="1">
      <c r="A130" s="1518" t="s">
        <v>529</v>
      </c>
      <c r="B130" s="1585" t="s">
        <v>260</v>
      </c>
      <c r="C130" s="1593">
        <v>0</v>
      </c>
      <c r="D130" s="1594">
        <v>0</v>
      </c>
      <c r="E130" s="1594">
        <v>0</v>
      </c>
      <c r="F130" s="401">
        <v>0</v>
      </c>
      <c r="G130" s="771"/>
      <c r="H130" s="771"/>
      <c r="I130" s="771"/>
    </row>
    <row r="131" spans="1:9" ht="12.75" customHeight="1">
      <c r="A131" s="1518" t="s">
        <v>1125</v>
      </c>
      <c r="B131" s="1585" t="s">
        <v>405</v>
      </c>
      <c r="C131" s="1593">
        <v>0</v>
      </c>
      <c r="D131" s="1594">
        <v>42194</v>
      </c>
      <c r="E131" s="1594">
        <v>41563.39</v>
      </c>
      <c r="F131" s="401">
        <f>E131/D131*100</f>
        <v>98.50545101199224</v>
      </c>
      <c r="G131" s="771"/>
      <c r="H131" s="771"/>
      <c r="I131" s="771"/>
    </row>
    <row r="132" spans="1:9" ht="12.75" customHeight="1">
      <c r="A132" s="1518" t="s">
        <v>1109</v>
      </c>
      <c r="B132" s="1585" t="s">
        <v>724</v>
      </c>
      <c r="C132" s="1593"/>
      <c r="D132" s="1594">
        <v>142</v>
      </c>
      <c r="E132" s="1594">
        <v>141.2</v>
      </c>
      <c r="F132" s="401">
        <f>E132/D132*100</f>
        <v>99.43661971830984</v>
      </c>
      <c r="G132" s="771"/>
      <c r="H132" s="771"/>
      <c r="I132" s="771"/>
    </row>
    <row r="133" spans="1:9" ht="12.75" customHeight="1">
      <c r="A133" s="1518" t="s">
        <v>307</v>
      </c>
      <c r="B133" s="1585" t="s">
        <v>1204</v>
      </c>
      <c r="C133" s="1593"/>
      <c r="D133" s="1594">
        <v>675</v>
      </c>
      <c r="E133" s="1594">
        <v>674.775</v>
      </c>
      <c r="F133" s="401">
        <f>E133/D133*100</f>
        <v>99.96666666666665</v>
      </c>
      <c r="G133" s="771"/>
      <c r="H133" s="771"/>
      <c r="I133" s="771"/>
    </row>
    <row r="134" spans="1:9" ht="12.75" customHeight="1">
      <c r="A134" s="1518" t="s">
        <v>318</v>
      </c>
      <c r="B134" s="1585" t="s">
        <v>1205</v>
      </c>
      <c r="C134" s="1593"/>
      <c r="D134" s="1594">
        <v>444</v>
      </c>
      <c r="E134" s="1594">
        <v>1353.431</v>
      </c>
      <c r="F134" s="401">
        <f>E134/D134*100</f>
        <v>304.8268018018018</v>
      </c>
      <c r="G134" s="771"/>
      <c r="H134" s="771"/>
      <c r="I134" s="771"/>
    </row>
    <row r="135" spans="1:9" ht="12.75" customHeight="1">
      <c r="A135" s="1518" t="s">
        <v>319</v>
      </c>
      <c r="B135" s="1586" t="s">
        <v>325</v>
      </c>
      <c r="C135" s="1593"/>
      <c r="D135" s="1594"/>
      <c r="E135" s="1594">
        <v>6.989</v>
      </c>
      <c r="F135" s="401"/>
      <c r="G135" s="771"/>
      <c r="H135" s="771"/>
      <c r="I135" s="771"/>
    </row>
    <row r="136" spans="1:9" ht="4.5" customHeight="1">
      <c r="A136" s="1518"/>
      <c r="B136" s="1582"/>
      <c r="C136" s="1533"/>
      <c r="D136" s="1569" t="s">
        <v>878</v>
      </c>
      <c r="E136" s="1569"/>
      <c r="F136" s="1569" t="s">
        <v>878</v>
      </c>
      <c r="G136" s="771"/>
      <c r="H136" s="771"/>
      <c r="I136" s="771"/>
    </row>
    <row r="137" spans="1:9" ht="12.75" customHeight="1">
      <c r="A137" s="1510"/>
      <c r="B137" s="1530" t="s">
        <v>668</v>
      </c>
      <c r="C137" s="1579">
        <f>SUM(C129:C136)</f>
        <v>7643</v>
      </c>
      <c r="D137" s="1579">
        <f>SUM(D129:D136)</f>
        <v>51098</v>
      </c>
      <c r="E137" s="1579">
        <f>SUM(E129:E136)</f>
        <v>43739.784999999996</v>
      </c>
      <c r="F137" s="1608">
        <f>E137/D137*100</f>
        <v>85.59979842655288</v>
      </c>
      <c r="G137" s="1611">
        <f>'4.tábla'!AW31-C137</f>
        <v>0</v>
      </c>
      <c r="H137" s="1611">
        <f>'4.tábla'!AX31-D137</f>
        <v>0</v>
      </c>
      <c r="I137" s="1611">
        <f>'4.tábla'!AY31-E137</f>
        <v>0</v>
      </c>
    </row>
    <row r="138" spans="1:9" ht="7.5" customHeight="1">
      <c r="A138" s="1518"/>
      <c r="B138" s="1530"/>
      <c r="C138" s="1578"/>
      <c r="D138" s="1579"/>
      <c r="E138" s="1579"/>
      <c r="F138" s="1579"/>
      <c r="G138" s="771"/>
      <c r="H138" s="771"/>
      <c r="I138" s="771"/>
    </row>
    <row r="139" spans="1:9" ht="12.75" customHeight="1">
      <c r="A139" s="1529">
        <v>17</v>
      </c>
      <c r="B139" s="1530" t="s">
        <v>398</v>
      </c>
      <c r="C139" s="1578"/>
      <c r="D139" s="1579"/>
      <c r="E139" s="1579"/>
      <c r="F139" s="1579"/>
      <c r="G139" s="771"/>
      <c r="H139" s="771"/>
      <c r="I139" s="771"/>
    </row>
    <row r="140" spans="1:9" ht="7.5" customHeight="1">
      <c r="A140" s="1529"/>
      <c r="B140" s="1530"/>
      <c r="C140" s="1578"/>
      <c r="D140" s="1579"/>
      <c r="E140" s="1579"/>
      <c r="F140" s="1579"/>
      <c r="G140" s="771"/>
      <c r="H140" s="771"/>
      <c r="I140" s="771"/>
    </row>
    <row r="141" spans="1:9" ht="12.75" customHeight="1">
      <c r="A141" s="1529">
        <v>18</v>
      </c>
      <c r="B141" s="1530" t="s">
        <v>669</v>
      </c>
      <c r="C141" s="1578"/>
      <c r="D141" s="1579"/>
      <c r="E141" s="1579"/>
      <c r="F141" s="1579"/>
      <c r="G141" s="771"/>
      <c r="H141" s="771"/>
      <c r="I141" s="771"/>
    </row>
    <row r="142" spans="1:9" ht="7.5" customHeight="1">
      <c r="A142" s="1529"/>
      <c r="B142" s="1530"/>
      <c r="C142" s="1578"/>
      <c r="D142" s="1579"/>
      <c r="E142" s="1579"/>
      <c r="F142" s="1579"/>
      <c r="G142" s="771"/>
      <c r="H142" s="771"/>
      <c r="I142" s="771"/>
    </row>
    <row r="143" spans="1:9" ht="12.75" customHeight="1">
      <c r="A143" s="1518" t="s">
        <v>171</v>
      </c>
      <c r="B143" s="1585" t="s">
        <v>265</v>
      </c>
      <c r="C143" s="1533">
        <v>6350</v>
      </c>
      <c r="D143" s="1569">
        <v>7220</v>
      </c>
      <c r="E143" s="1569">
        <v>0</v>
      </c>
      <c r="F143" s="401">
        <f>E143/D143*100</f>
        <v>0</v>
      </c>
      <c r="G143" s="771"/>
      <c r="H143" s="771"/>
      <c r="I143" s="771"/>
    </row>
    <row r="144" spans="1:9" ht="12.75" customHeight="1">
      <c r="A144" s="1518" t="s">
        <v>529</v>
      </c>
      <c r="B144" s="1586" t="s">
        <v>24</v>
      </c>
      <c r="C144" s="1533">
        <v>8536</v>
      </c>
      <c r="D144" s="1569">
        <v>2270.681</v>
      </c>
      <c r="E144" s="1569">
        <v>0</v>
      </c>
      <c r="F144" s="401">
        <f>E144/D144*100</f>
        <v>0</v>
      </c>
      <c r="G144" s="771"/>
      <c r="H144" s="771"/>
      <c r="I144" s="771"/>
    </row>
    <row r="145" spans="1:9" ht="12.75" customHeight="1">
      <c r="A145" s="1518" t="s">
        <v>1125</v>
      </c>
      <c r="B145" s="1586" t="s">
        <v>725</v>
      </c>
      <c r="C145" s="1533"/>
      <c r="D145" s="1569">
        <v>849</v>
      </c>
      <c r="E145" s="1569">
        <v>0</v>
      </c>
      <c r="F145" s="401">
        <f>E145/D145*100</f>
        <v>0</v>
      </c>
      <c r="G145" s="771"/>
      <c r="H145" s="771"/>
      <c r="I145" s="771"/>
    </row>
    <row r="146" spans="1:9" ht="4.5" customHeight="1">
      <c r="A146" s="1518"/>
      <c r="B146" s="1530"/>
      <c r="C146" s="1578"/>
      <c r="D146" s="1579"/>
      <c r="E146" s="1579"/>
      <c r="F146" s="1579"/>
      <c r="G146" s="771"/>
      <c r="H146" s="771"/>
      <c r="I146" s="771"/>
    </row>
    <row r="147" spans="1:9" ht="12.75" customHeight="1">
      <c r="A147" s="1518"/>
      <c r="B147" s="1530" t="s">
        <v>726</v>
      </c>
      <c r="C147" s="1579">
        <f>SUM(C143:C146)</f>
        <v>14886</v>
      </c>
      <c r="D147" s="1579">
        <f>SUM(D143:D146)</f>
        <v>10339.681</v>
      </c>
      <c r="E147" s="1579">
        <f>SUM(E143:E146)</f>
        <v>0</v>
      </c>
      <c r="F147" s="1608">
        <f>E147/D147*100</f>
        <v>0</v>
      </c>
      <c r="G147" s="1611">
        <f>'4.tábla'!BC31-C147</f>
        <v>0</v>
      </c>
      <c r="H147" s="1611">
        <f>'4.tábla'!BD31-D147</f>
        <v>0</v>
      </c>
      <c r="I147" s="1611">
        <f>'4.tábla'!BE31-E147</f>
        <v>0</v>
      </c>
    </row>
    <row r="148" spans="1:9" ht="7.5" customHeight="1">
      <c r="A148" s="1518"/>
      <c r="B148" s="1530"/>
      <c r="C148" s="1579"/>
      <c r="D148" s="1579"/>
      <c r="E148" s="1579"/>
      <c r="F148" s="1579"/>
      <c r="G148" s="771"/>
      <c r="H148" s="771"/>
      <c r="I148" s="771"/>
    </row>
    <row r="149" spans="1:9" ht="12.75" customHeight="1">
      <c r="A149" s="1529">
        <v>19</v>
      </c>
      <c r="B149" s="1530" t="s">
        <v>670</v>
      </c>
      <c r="C149" s="1579"/>
      <c r="D149" s="1579"/>
      <c r="E149" s="1579"/>
      <c r="F149" s="1579"/>
      <c r="G149" s="771"/>
      <c r="H149" s="771"/>
      <c r="I149" s="771"/>
    </row>
    <row r="150" spans="1:9" ht="7.5" customHeight="1">
      <c r="A150" s="1529"/>
      <c r="B150" s="1530"/>
      <c r="C150" s="1579"/>
      <c r="D150" s="1579"/>
      <c r="E150" s="1579"/>
      <c r="F150" s="1579"/>
      <c r="G150" s="771"/>
      <c r="H150" s="771"/>
      <c r="I150" s="771"/>
    </row>
    <row r="151" spans="1:9" ht="12.75" customHeight="1">
      <c r="A151" s="1518" t="s">
        <v>171</v>
      </c>
      <c r="B151" s="1570" t="s">
        <v>202</v>
      </c>
      <c r="C151" s="1533">
        <v>38100</v>
      </c>
      <c r="D151" s="1569">
        <v>38983</v>
      </c>
      <c r="E151" s="1569">
        <v>33348.801</v>
      </c>
      <c r="F151" s="401">
        <f>E151/D151*100</f>
        <v>85.54703588743811</v>
      </c>
      <c r="G151" s="771"/>
      <c r="H151" s="771"/>
      <c r="I151" s="771"/>
    </row>
    <row r="152" spans="1:9" ht="12.75" customHeight="1">
      <c r="A152" s="1518" t="s">
        <v>529</v>
      </c>
      <c r="B152" s="1570" t="s">
        <v>1206</v>
      </c>
      <c r="C152" s="1533"/>
      <c r="D152" s="1569">
        <v>427</v>
      </c>
      <c r="E152" s="1569">
        <v>426.212</v>
      </c>
      <c r="F152" s="401">
        <f>E152/D152*100</f>
        <v>99.81545667447307</v>
      </c>
      <c r="G152" s="771"/>
      <c r="H152" s="771"/>
      <c r="I152" s="771"/>
    </row>
    <row r="153" spans="1:9" ht="4.5" customHeight="1">
      <c r="A153" s="1529"/>
      <c r="B153" s="1530"/>
      <c r="C153" s="1579"/>
      <c r="D153" s="1579"/>
      <c r="E153" s="1579"/>
      <c r="F153" s="1579"/>
      <c r="G153" s="771"/>
      <c r="H153" s="771"/>
      <c r="I153" s="771"/>
    </row>
    <row r="154" spans="1:9" ht="12.75" customHeight="1">
      <c r="A154" s="1529"/>
      <c r="B154" s="1530" t="s">
        <v>727</v>
      </c>
      <c r="C154" s="1579">
        <f>SUM(C151:C153)</f>
        <v>38100</v>
      </c>
      <c r="D154" s="1579">
        <f>SUM(D151:D153)</f>
        <v>39410</v>
      </c>
      <c r="E154" s="1579">
        <f>SUM(E151:E153)</f>
        <v>33775.013</v>
      </c>
      <c r="F154" s="1608">
        <f>E154/D154*100</f>
        <v>85.70163156559248</v>
      </c>
      <c r="G154" s="1611">
        <f>'4.tábla'!BF31-C154</f>
        <v>0</v>
      </c>
      <c r="H154" s="1611">
        <f>'4.tábla'!BG31-D154</f>
        <v>0</v>
      </c>
      <c r="I154" s="1611">
        <f>'4.tábla'!BH31-E154</f>
        <v>0</v>
      </c>
    </row>
    <row r="155" spans="1:9" ht="7.5" customHeight="1">
      <c r="A155" s="1518"/>
      <c r="B155" s="1530"/>
      <c r="C155" s="1579"/>
      <c r="D155" s="1579"/>
      <c r="E155" s="1579"/>
      <c r="F155" s="1579"/>
      <c r="G155" s="771"/>
      <c r="H155" s="771"/>
      <c r="I155" s="771"/>
    </row>
    <row r="156" spans="1:9" ht="19.5" customHeight="1">
      <c r="A156" s="2128"/>
      <c r="B156" s="2129" t="s">
        <v>671</v>
      </c>
      <c r="C156" s="1540">
        <f>C51+C65+C71+C73+C75+C83+C97+C106+C108+C110+C112+C114+C121+C123+C125+C137+C139+C147+C154</f>
        <v>1647794</v>
      </c>
      <c r="D156" s="1540">
        <f>D51+D65+D71+D73+D75+D83+D97+D106+D108+D110+D112+D114+D121+D123+D125+D137+D139+D147+D154</f>
        <v>3015771.216</v>
      </c>
      <c r="E156" s="1540">
        <f>E51+E65+E71+E73+E75+E83+E97+E106+E108+E110+E112+E114+E121+E123+E125+E137+E139+E147+E154</f>
        <v>1852014.4609999997</v>
      </c>
      <c r="F156" s="1553">
        <f>E156/D156*100</f>
        <v>61.410973457609906</v>
      </c>
      <c r="G156" s="1611">
        <f>'4.tábla'!BI31-C156</f>
        <v>0</v>
      </c>
      <c r="H156" s="1611">
        <f>'4.tábla'!BJ31-D156</f>
        <v>0.39999999944120646</v>
      </c>
      <c r="I156" s="1611">
        <f>'4.tábla'!BK31-E156</f>
        <v>0</v>
      </c>
    </row>
    <row r="157" spans="1:9" ht="7.5" customHeight="1">
      <c r="A157" s="1518"/>
      <c r="B157" s="1530"/>
      <c r="C157" s="1579"/>
      <c r="D157" s="1579"/>
      <c r="E157" s="1579"/>
      <c r="F157" s="1579"/>
      <c r="G157" s="771"/>
      <c r="H157" s="771"/>
      <c r="I157" s="771"/>
    </row>
    <row r="158" spans="1:9" ht="12.75" customHeight="1">
      <c r="A158" s="1527" t="s">
        <v>1052</v>
      </c>
      <c r="B158" s="1528" t="s">
        <v>672</v>
      </c>
      <c r="C158" s="1579"/>
      <c r="D158" s="1579"/>
      <c r="E158" s="1579"/>
      <c r="F158" s="1579"/>
      <c r="G158" s="771"/>
      <c r="H158" s="771"/>
      <c r="I158" s="771"/>
    </row>
    <row r="159" spans="1:9" ht="7.5" customHeight="1">
      <c r="A159" s="1595"/>
      <c r="B159" s="1596"/>
      <c r="C159" s="1579"/>
      <c r="D159" s="1579"/>
      <c r="E159" s="1579"/>
      <c r="F159" s="1579"/>
      <c r="G159" s="771"/>
      <c r="H159" s="771"/>
      <c r="I159" s="771"/>
    </row>
    <row r="160" spans="1:9" ht="12.75" customHeight="1">
      <c r="A160" s="1529">
        <v>1</v>
      </c>
      <c r="B160" s="1530" t="s">
        <v>673</v>
      </c>
      <c r="C160" s="1581">
        <v>0</v>
      </c>
      <c r="D160" s="1569">
        <v>174</v>
      </c>
      <c r="E160" s="1569">
        <v>173.99</v>
      </c>
      <c r="F160" s="401">
        <f>E160/D160*100</f>
        <v>99.99425287356323</v>
      </c>
      <c r="G160" s="1611">
        <f>'4.tábla'!BL31-C160</f>
        <v>0</v>
      </c>
      <c r="H160" s="1611">
        <f>'4.tábla'!BM31-D160</f>
        <v>0</v>
      </c>
      <c r="I160" s="1611">
        <f>'4.tábla'!BN31-E160</f>
        <v>0</v>
      </c>
    </row>
    <row r="161" spans="1:9" ht="7.5" customHeight="1">
      <c r="A161" s="1529"/>
      <c r="B161" s="1530"/>
      <c r="C161" s="1579"/>
      <c r="D161" s="1579"/>
      <c r="E161" s="1579"/>
      <c r="F161" s="1579"/>
      <c r="G161" s="771"/>
      <c r="H161" s="771"/>
      <c r="I161" s="771"/>
    </row>
    <row r="162" spans="1:9" ht="12.75" customHeight="1">
      <c r="A162" s="1529">
        <v>2</v>
      </c>
      <c r="B162" s="1530" t="s">
        <v>674</v>
      </c>
      <c r="C162" s="1579"/>
      <c r="D162" s="1579"/>
      <c r="E162" s="1579"/>
      <c r="F162" s="1579"/>
      <c r="G162" s="771"/>
      <c r="H162" s="771"/>
      <c r="I162" s="771"/>
    </row>
    <row r="163" spans="1:9" ht="7.5" customHeight="1">
      <c r="A163" s="1529"/>
      <c r="B163" s="1530"/>
      <c r="C163" s="1579"/>
      <c r="D163" s="1579"/>
      <c r="E163" s="1579"/>
      <c r="F163" s="1579"/>
      <c r="G163" s="771"/>
      <c r="H163" s="771"/>
      <c r="I163" s="771"/>
    </row>
    <row r="164" spans="1:9" ht="12.75" customHeight="1">
      <c r="A164" s="1518" t="s">
        <v>171</v>
      </c>
      <c r="B164" s="1570" t="s">
        <v>1207</v>
      </c>
      <c r="C164" s="1581">
        <v>0</v>
      </c>
      <c r="D164" s="1569">
        <v>10000</v>
      </c>
      <c r="E164" s="1569">
        <v>9945</v>
      </c>
      <c r="F164" s="401">
        <f>E164/D164*100</f>
        <v>99.45</v>
      </c>
      <c r="G164" s="771"/>
      <c r="H164" s="771"/>
      <c r="I164" s="771"/>
    </row>
    <row r="165" spans="1:9" ht="4.5" customHeight="1">
      <c r="A165" s="1529"/>
      <c r="B165" s="1530"/>
      <c r="C165" s="1579"/>
      <c r="D165" s="1579"/>
      <c r="E165" s="1579"/>
      <c r="F165" s="1579"/>
      <c r="G165" s="771"/>
      <c r="H165" s="771"/>
      <c r="I165" s="771"/>
    </row>
    <row r="166" spans="1:9" ht="12.75" customHeight="1">
      <c r="A166" s="1529"/>
      <c r="B166" s="1530" t="s">
        <v>1208</v>
      </c>
      <c r="C166" s="1536">
        <f>SUM(C164)</f>
        <v>0</v>
      </c>
      <c r="D166" s="1537">
        <f>SUM(D164)</f>
        <v>10000</v>
      </c>
      <c r="E166" s="1537">
        <f>SUM(E164)</f>
        <v>9945</v>
      </c>
      <c r="F166" s="1609">
        <f>E166/D166*100</f>
        <v>99.45</v>
      </c>
      <c r="G166" s="771"/>
      <c r="H166" s="771"/>
      <c r="I166" s="771"/>
    </row>
    <row r="167" spans="1:9" ht="7.5" customHeight="1">
      <c r="A167" s="1529"/>
      <c r="B167" s="1530"/>
      <c r="C167" s="1579"/>
      <c r="D167" s="1579"/>
      <c r="E167" s="1579"/>
      <c r="F167" s="1579"/>
      <c r="G167" s="771"/>
      <c r="H167" s="771"/>
      <c r="I167" s="771"/>
    </row>
    <row r="168" spans="1:9" ht="12.75" customHeight="1">
      <c r="A168" s="1529">
        <v>3</v>
      </c>
      <c r="B168" s="1530" t="s">
        <v>675</v>
      </c>
      <c r="C168" s="1579"/>
      <c r="D168" s="1579"/>
      <c r="E168" s="1579"/>
      <c r="F168" s="1579"/>
      <c r="G168" s="771"/>
      <c r="H168" s="771"/>
      <c r="I168" s="771"/>
    </row>
    <row r="169" spans="1:9" ht="7.5" customHeight="1">
      <c r="A169" s="1529"/>
      <c r="B169" s="1530"/>
      <c r="C169" s="1579"/>
      <c r="D169" s="1579"/>
      <c r="E169" s="1579"/>
      <c r="F169" s="1579"/>
      <c r="G169" s="771"/>
      <c r="H169" s="771"/>
      <c r="I169" s="771"/>
    </row>
    <row r="170" spans="1:9" ht="12.75" customHeight="1">
      <c r="A170" s="1529">
        <v>4</v>
      </c>
      <c r="B170" s="1530" t="s">
        <v>784</v>
      </c>
      <c r="C170" s="1579"/>
      <c r="D170" s="1579"/>
      <c r="E170" s="1579"/>
      <c r="F170" s="1579"/>
      <c r="G170" s="771"/>
      <c r="H170" s="771"/>
      <c r="I170" s="771"/>
    </row>
    <row r="171" spans="1:9" ht="7.5" customHeight="1">
      <c r="A171" s="1529"/>
      <c r="B171" s="1530"/>
      <c r="C171" s="1579"/>
      <c r="D171" s="1579"/>
      <c r="E171" s="1579"/>
      <c r="F171" s="1579"/>
      <c r="G171" s="771"/>
      <c r="H171" s="771"/>
      <c r="I171" s="771"/>
    </row>
    <row r="172" spans="1:9" ht="12.75" customHeight="1">
      <c r="A172" s="1518" t="s">
        <v>171</v>
      </c>
      <c r="B172" s="1582" t="s">
        <v>406</v>
      </c>
      <c r="C172" s="1579"/>
      <c r="D172" s="1594">
        <v>28023</v>
      </c>
      <c r="E172" s="1594">
        <v>9398</v>
      </c>
      <c r="F172" s="401">
        <f>E172/D172*100</f>
        <v>33.53673767976305</v>
      </c>
      <c r="G172" s="771"/>
      <c r="H172" s="771"/>
      <c r="I172" s="771"/>
    </row>
    <row r="173" spans="1:9" ht="4.5" customHeight="1">
      <c r="A173" s="1529"/>
      <c r="B173" s="1530"/>
      <c r="C173" s="1579"/>
      <c r="D173" s="1579"/>
      <c r="E173" s="1579"/>
      <c r="F173" s="1579"/>
      <c r="G173" s="771"/>
      <c r="H173" s="771"/>
      <c r="I173" s="771"/>
    </row>
    <row r="174" spans="1:9" ht="12.75" customHeight="1">
      <c r="A174" s="1529"/>
      <c r="B174" s="1530" t="s">
        <v>728</v>
      </c>
      <c r="C174" s="1536">
        <f>SUM(C172)</f>
        <v>0</v>
      </c>
      <c r="D174" s="1537">
        <f>SUM(D172)</f>
        <v>28023</v>
      </c>
      <c r="E174" s="1537">
        <f>SUM(E172)</f>
        <v>9398</v>
      </c>
      <c r="F174" s="1609">
        <f>E174/D174*100</f>
        <v>33.53673767976305</v>
      </c>
      <c r="G174" s="1611">
        <f>'4.tábla'!BU31-C174</f>
        <v>0</v>
      </c>
      <c r="H174" s="1611">
        <f>'4.tábla'!BV31-D174</f>
        <v>0</v>
      </c>
      <c r="I174" s="1611">
        <f>'4.tábla'!BW31-E174</f>
        <v>0</v>
      </c>
    </row>
    <row r="175" spans="1:9" ht="7.5" customHeight="1">
      <c r="A175" s="1529"/>
      <c r="B175" s="1530"/>
      <c r="C175" s="1579"/>
      <c r="D175" s="1579"/>
      <c r="E175" s="1579"/>
      <c r="F175" s="1579"/>
      <c r="G175" s="771"/>
      <c r="H175" s="771"/>
      <c r="I175" s="771"/>
    </row>
    <row r="176" spans="1:9" ht="12.75" customHeight="1">
      <c r="A176" s="1529">
        <v>5</v>
      </c>
      <c r="B176" s="1530" t="s">
        <v>129</v>
      </c>
      <c r="C176" s="1579"/>
      <c r="D176" s="1579"/>
      <c r="E176" s="1579"/>
      <c r="F176" s="1579"/>
      <c r="G176" s="771"/>
      <c r="H176" s="771"/>
      <c r="I176" s="771"/>
    </row>
    <row r="177" spans="1:9" ht="7.5" customHeight="1">
      <c r="A177" s="1529"/>
      <c r="B177" s="1530"/>
      <c r="C177" s="1579"/>
      <c r="D177" s="1579"/>
      <c r="E177" s="1579"/>
      <c r="F177" s="1579"/>
      <c r="G177" s="771"/>
      <c r="H177" s="771"/>
      <c r="I177" s="771"/>
    </row>
    <row r="178" spans="1:9" ht="12.75" customHeight="1">
      <c r="A178" s="1518" t="s">
        <v>171</v>
      </c>
      <c r="B178" s="1532" t="s">
        <v>33</v>
      </c>
      <c r="C178" s="1533">
        <v>5080</v>
      </c>
      <c r="D178" s="1569">
        <v>5080</v>
      </c>
      <c r="E178" s="1569">
        <v>0</v>
      </c>
      <c r="F178" s="401">
        <f>E178/D178*100</f>
        <v>0</v>
      </c>
      <c r="G178" s="771"/>
      <c r="H178" s="771"/>
      <c r="I178" s="771"/>
    </row>
    <row r="179" spans="1:9" ht="4.5" customHeight="1">
      <c r="A179" s="1518"/>
      <c r="B179" s="1532"/>
      <c r="C179" s="1533"/>
      <c r="D179" s="1569"/>
      <c r="E179" s="1569"/>
      <c r="F179" s="1569"/>
      <c r="G179" s="771"/>
      <c r="H179" s="771"/>
      <c r="I179" s="771"/>
    </row>
    <row r="180" spans="1:9" ht="12.75" customHeight="1">
      <c r="A180" s="1587"/>
      <c r="B180" s="1530" t="s">
        <v>729</v>
      </c>
      <c r="C180" s="1536">
        <f>SUM(C178)</f>
        <v>5080</v>
      </c>
      <c r="D180" s="1537">
        <f>SUM(D178)</f>
        <v>5080</v>
      </c>
      <c r="E180" s="1537">
        <f>SUM(E178)</f>
        <v>0</v>
      </c>
      <c r="F180" s="1609">
        <f>E180/D180*100</f>
        <v>0</v>
      </c>
      <c r="G180" s="1611">
        <f>'4.tábla'!BX31-C180</f>
        <v>0</v>
      </c>
      <c r="H180" s="1611">
        <f>'4.tábla'!BY31-D180</f>
        <v>0</v>
      </c>
      <c r="I180" s="1611">
        <f>'4.tábla'!BZ31-E180</f>
        <v>0</v>
      </c>
    </row>
    <row r="181" spans="1:9" ht="7.5" customHeight="1">
      <c r="A181" s="1529"/>
      <c r="B181" s="1530"/>
      <c r="C181" s="1579"/>
      <c r="D181" s="1579"/>
      <c r="E181" s="1579"/>
      <c r="F181" s="1579"/>
      <c r="G181" s="771"/>
      <c r="H181" s="771"/>
      <c r="I181" s="771"/>
    </row>
    <row r="182" spans="1:9" ht="12.75" customHeight="1">
      <c r="A182" s="1529">
        <v>6</v>
      </c>
      <c r="B182" s="1530" t="s">
        <v>676</v>
      </c>
      <c r="C182" s="1579"/>
      <c r="D182" s="1579"/>
      <c r="E182" s="1579"/>
      <c r="F182" s="1579"/>
      <c r="G182" s="771"/>
      <c r="H182" s="771"/>
      <c r="I182" s="771"/>
    </row>
    <row r="183" spans="1:9" ht="7.5" customHeight="1">
      <c r="A183" s="1529"/>
      <c r="B183" s="1530"/>
      <c r="C183" s="1579"/>
      <c r="D183" s="1579"/>
      <c r="E183" s="1579"/>
      <c r="F183" s="1579"/>
      <c r="G183" s="771"/>
      <c r="H183" s="771"/>
      <c r="I183" s="771"/>
    </row>
    <row r="184" spans="1:9" ht="12.75" customHeight="1">
      <c r="A184" s="1518" t="s">
        <v>171</v>
      </c>
      <c r="B184" s="1582" t="s">
        <v>233</v>
      </c>
      <c r="C184" s="1533">
        <v>6350</v>
      </c>
      <c r="D184" s="1569">
        <v>6350</v>
      </c>
      <c r="E184" s="1569">
        <v>5688.786</v>
      </c>
      <c r="F184" s="401">
        <f>E184/D184*100</f>
        <v>89.5871811023622</v>
      </c>
      <c r="G184" s="771"/>
      <c r="H184" s="771"/>
      <c r="I184" s="771"/>
    </row>
    <row r="185" spans="1:9" ht="12.75" customHeight="1">
      <c r="A185" s="1518" t="s">
        <v>529</v>
      </c>
      <c r="B185" s="1532" t="s">
        <v>198</v>
      </c>
      <c r="C185" s="1533">
        <v>25400</v>
      </c>
      <c r="D185" s="1569">
        <v>39638.319</v>
      </c>
      <c r="E185" s="1569">
        <v>39013.07</v>
      </c>
      <c r="F185" s="401">
        <f>E185/D185*100</f>
        <v>98.42261474307222</v>
      </c>
      <c r="G185" s="771"/>
      <c r="H185" s="771"/>
      <c r="I185" s="771"/>
    </row>
    <row r="186" spans="1:9" ht="24.75" customHeight="1">
      <c r="A186" s="1597" t="s">
        <v>1125</v>
      </c>
      <c r="B186" s="1598" t="s">
        <v>261</v>
      </c>
      <c r="C186" s="1574">
        <v>0</v>
      </c>
      <c r="D186" s="1575">
        <v>0</v>
      </c>
      <c r="E186" s="1575"/>
      <c r="F186" s="401">
        <v>0</v>
      </c>
      <c r="G186" s="771"/>
      <c r="H186" s="771"/>
      <c r="I186" s="771"/>
    </row>
    <row r="187" spans="1:9" ht="4.5" customHeight="1">
      <c r="A187" s="1518"/>
      <c r="B187" s="1582"/>
      <c r="C187" s="1533"/>
      <c r="D187" s="1569"/>
      <c r="E187" s="1569"/>
      <c r="F187" s="1569"/>
      <c r="G187" s="771"/>
      <c r="H187" s="771"/>
      <c r="I187" s="771"/>
    </row>
    <row r="188" spans="1:9" ht="12.75" customHeight="1">
      <c r="A188" s="1529"/>
      <c r="B188" s="1530" t="s">
        <v>1049</v>
      </c>
      <c r="C188" s="1578">
        <f>SUM(C184:C187)</f>
        <v>31750</v>
      </c>
      <c r="D188" s="1579">
        <f>SUM(D184:D187)</f>
        <v>45988.319</v>
      </c>
      <c r="E188" s="1579">
        <f>SUM(E184:E187)</f>
        <v>44701.856</v>
      </c>
      <c r="F188" s="1608">
        <f>E188/D188*100</f>
        <v>97.20263095504751</v>
      </c>
      <c r="G188" s="1611">
        <f>'4.tábla'!CA31-C188</f>
        <v>0</v>
      </c>
      <c r="H188" s="1611">
        <f>'4.tábla'!CB31-D188</f>
        <v>-0.3190000000031432</v>
      </c>
      <c r="I188" s="1611">
        <f>'4.tábla'!CC31-E188</f>
        <v>-0.09999999999854481</v>
      </c>
    </row>
    <row r="189" spans="1:9" ht="10.5" customHeight="1" thickBot="1">
      <c r="A189" s="2126"/>
      <c r="B189" s="1588"/>
      <c r="C189" s="2127"/>
      <c r="D189" s="2127"/>
      <c r="E189" s="2127"/>
      <c r="F189" s="2127"/>
      <c r="G189" s="771"/>
      <c r="H189" s="771"/>
      <c r="I189" s="771"/>
    </row>
    <row r="190" spans="1:9" ht="7.5" customHeight="1">
      <c r="A190" s="1529"/>
      <c r="B190" s="1530"/>
      <c r="C190" s="1579"/>
      <c r="D190" s="1579"/>
      <c r="E190" s="1579"/>
      <c r="F190" s="1579"/>
      <c r="G190" s="771"/>
      <c r="H190" s="771"/>
      <c r="I190" s="771"/>
    </row>
    <row r="191" spans="1:9" ht="7.5" customHeight="1">
      <c r="A191" s="1529"/>
      <c r="B191" s="1530"/>
      <c r="C191" s="1579"/>
      <c r="D191" s="1579"/>
      <c r="E191" s="1579"/>
      <c r="F191" s="1579"/>
      <c r="G191" s="771"/>
      <c r="H191" s="771"/>
      <c r="I191" s="771"/>
    </row>
    <row r="192" spans="1:9" ht="7.5" customHeight="1">
      <c r="A192" s="1529"/>
      <c r="B192" s="1530"/>
      <c r="C192" s="1579"/>
      <c r="D192" s="1579"/>
      <c r="E192" s="1579"/>
      <c r="F192" s="1579"/>
      <c r="G192" s="771"/>
      <c r="H192" s="771"/>
      <c r="I192" s="771"/>
    </row>
    <row r="193" spans="1:9" ht="12.75" customHeight="1">
      <c r="A193" s="1529">
        <v>7</v>
      </c>
      <c r="B193" s="1530" t="s">
        <v>677</v>
      </c>
      <c r="C193" s="1579"/>
      <c r="D193" s="1579"/>
      <c r="E193" s="1579"/>
      <c r="F193" s="1579"/>
      <c r="G193" s="771"/>
      <c r="H193" s="771"/>
      <c r="I193" s="771"/>
    </row>
    <row r="194" spans="1:9" ht="7.5" customHeight="1">
      <c r="A194" s="1529"/>
      <c r="B194" s="1530"/>
      <c r="C194" s="1579"/>
      <c r="D194" s="1579"/>
      <c r="E194" s="1579"/>
      <c r="F194" s="1579"/>
      <c r="G194" s="771"/>
      <c r="H194" s="771"/>
      <c r="I194" s="771"/>
    </row>
    <row r="195" spans="1:9" ht="12.75" customHeight="1">
      <c r="A195" s="1518" t="s">
        <v>171</v>
      </c>
      <c r="B195" s="1582" t="s">
        <v>285</v>
      </c>
      <c r="C195" s="1533"/>
      <c r="D195" s="1569">
        <v>300</v>
      </c>
      <c r="E195" s="1569">
        <v>0</v>
      </c>
      <c r="F195" s="1569">
        <v>0</v>
      </c>
      <c r="G195" s="771"/>
      <c r="H195" s="771"/>
      <c r="I195" s="771"/>
    </row>
    <row r="196" spans="1:9" ht="12.75" customHeight="1">
      <c r="A196" s="1518" t="s">
        <v>529</v>
      </c>
      <c r="B196" s="1585" t="s">
        <v>234</v>
      </c>
      <c r="C196" s="1533">
        <v>0</v>
      </c>
      <c r="D196" s="1569">
        <v>130</v>
      </c>
      <c r="E196" s="1569">
        <v>129.988</v>
      </c>
      <c r="F196" s="1569">
        <v>0</v>
      </c>
      <c r="G196" s="771"/>
      <c r="H196" s="771"/>
      <c r="I196" s="771"/>
    </row>
    <row r="197" spans="1:9" ht="12.75" customHeight="1">
      <c r="A197" s="1518" t="s">
        <v>1125</v>
      </c>
      <c r="B197" s="1585" t="s">
        <v>1209</v>
      </c>
      <c r="C197" s="1533">
        <v>0</v>
      </c>
      <c r="D197" s="1569">
        <v>9906</v>
      </c>
      <c r="E197" s="1569">
        <v>9906</v>
      </c>
      <c r="F197" s="1569">
        <v>0</v>
      </c>
      <c r="G197" s="771"/>
      <c r="H197" s="771"/>
      <c r="I197" s="771"/>
    </row>
    <row r="198" spans="1:9" ht="4.5" customHeight="1">
      <c r="A198" s="1518"/>
      <c r="B198" s="1530"/>
      <c r="C198" s="1580"/>
      <c r="D198" s="1580"/>
      <c r="E198" s="1580"/>
      <c r="F198" s="1580"/>
      <c r="G198" s="771"/>
      <c r="H198" s="771"/>
      <c r="I198" s="771"/>
    </row>
    <row r="199" spans="1:9" ht="12.75" customHeight="1">
      <c r="A199" s="1518"/>
      <c r="B199" s="1530" t="s">
        <v>730</v>
      </c>
      <c r="C199" s="1580">
        <f>SUM(C195:C198)</f>
        <v>0</v>
      </c>
      <c r="D199" s="1580">
        <f>SUM(D195:D198)</f>
        <v>10336</v>
      </c>
      <c r="E199" s="1580">
        <f>SUM(E195:E198)</f>
        <v>10035.988</v>
      </c>
      <c r="F199" s="1580">
        <f>SUM(F195:F198)</f>
        <v>0</v>
      </c>
      <c r="G199" s="1611">
        <f>'4.tábla'!CD31-C199</f>
        <v>0</v>
      </c>
      <c r="H199" s="1611">
        <f>'4.tábla'!CE31-D199</f>
        <v>0</v>
      </c>
      <c r="I199" s="1611">
        <f>'4.tábla'!CF31-E199</f>
        <v>-0.2999999999992724</v>
      </c>
    </row>
    <row r="200" spans="1:9" ht="7.5" customHeight="1">
      <c r="A200" s="1529"/>
      <c r="B200" s="1530"/>
      <c r="C200" s="1579"/>
      <c r="D200" s="1579"/>
      <c r="E200" s="1579"/>
      <c r="F200" s="1579"/>
      <c r="G200" s="771"/>
      <c r="H200" s="771"/>
      <c r="I200" s="771"/>
    </row>
    <row r="201" spans="1:9" ht="12.75" customHeight="1">
      <c r="A201" s="1529">
        <v>8</v>
      </c>
      <c r="B201" s="1530" t="s">
        <v>678</v>
      </c>
      <c r="C201" s="1579"/>
      <c r="D201" s="1579"/>
      <c r="E201" s="1579"/>
      <c r="F201" s="1579"/>
      <c r="G201" s="771"/>
      <c r="H201" s="771"/>
      <c r="I201" s="771"/>
    </row>
    <row r="202" spans="1:9" ht="7.5" customHeight="1">
      <c r="A202" s="1529"/>
      <c r="B202" s="1530"/>
      <c r="C202" s="1579"/>
      <c r="D202" s="1579"/>
      <c r="E202" s="1579"/>
      <c r="F202" s="1579"/>
      <c r="G202" s="771"/>
      <c r="H202" s="771"/>
      <c r="I202" s="771"/>
    </row>
    <row r="203" spans="1:9" ht="12.75" customHeight="1">
      <c r="A203" s="1529">
        <v>9</v>
      </c>
      <c r="B203" s="1530" t="s">
        <v>788</v>
      </c>
      <c r="C203" s="1579"/>
      <c r="D203" s="1579"/>
      <c r="E203" s="1579"/>
      <c r="F203" s="1579"/>
      <c r="G203" s="771"/>
      <c r="H203" s="771"/>
      <c r="I203" s="771"/>
    </row>
    <row r="204" spans="1:9" ht="7.5" customHeight="1">
      <c r="A204" s="1518"/>
      <c r="B204" s="1530"/>
      <c r="C204" s="1579"/>
      <c r="D204" s="1579"/>
      <c r="E204" s="1579"/>
      <c r="F204" s="1579"/>
      <c r="G204" s="771"/>
      <c r="H204" s="771"/>
      <c r="I204" s="771"/>
    </row>
    <row r="205" spans="1:9" ht="19.5" customHeight="1">
      <c r="A205" s="1518"/>
      <c r="B205" s="2129" t="s">
        <v>679</v>
      </c>
      <c r="C205" s="1540">
        <f>C160+C162+C168+C174+C180+C188+C199+C201+C203</f>
        <v>36830</v>
      </c>
      <c r="D205" s="1540">
        <f>D160+D166+D168+D174+D180+D188+D199+D201+D203</f>
        <v>99601.319</v>
      </c>
      <c r="E205" s="1540">
        <f>E160+E166+E168+E174+E180+E188+E199+E201+E203</f>
        <v>74254.834</v>
      </c>
      <c r="F205" s="1553">
        <f>E205/D205*100</f>
        <v>74.55205889391885</v>
      </c>
      <c r="G205" s="1611">
        <f>'4.tábla'!CM31-C205</f>
        <v>0</v>
      </c>
      <c r="H205" s="1611">
        <f>'4.tábla'!CN31-D205</f>
        <v>-0.3190000000031432</v>
      </c>
      <c r="I205" s="1611">
        <f>'4.tábla'!CO31-E205</f>
        <v>-0.40000000000873115</v>
      </c>
    </row>
    <row r="206" spans="1:9" ht="6" customHeight="1">
      <c r="A206" s="1518"/>
      <c r="B206" s="1530"/>
      <c r="C206" s="1579"/>
      <c r="D206" s="1579"/>
      <c r="E206" s="1579"/>
      <c r="F206" s="1579"/>
      <c r="G206" s="771"/>
      <c r="H206" s="771"/>
      <c r="I206" s="771"/>
    </row>
    <row r="207" spans="1:6" ht="7.5" customHeight="1" thickBot="1">
      <c r="A207" s="1587"/>
      <c r="B207" s="1530"/>
      <c r="C207" s="1536"/>
      <c r="D207" s="1537"/>
      <c r="E207" s="1537"/>
      <c r="F207" s="1537"/>
    </row>
    <row r="208" spans="1:9" ht="24.75" customHeight="1" thickBot="1">
      <c r="A208" s="1599" t="s">
        <v>174</v>
      </c>
      <c r="B208" s="1600" t="s">
        <v>731</v>
      </c>
      <c r="C208" s="1601">
        <f>C156+C205</f>
        <v>1684624</v>
      </c>
      <c r="D208" s="1601">
        <f>D156+D205</f>
        <v>3115372.535</v>
      </c>
      <c r="E208" s="1601">
        <f>E156+E205</f>
        <v>1926269.2949999997</v>
      </c>
      <c r="F208" s="1607">
        <f>E208/D208*100</f>
        <v>61.831106018914674</v>
      </c>
      <c r="G208" s="382">
        <f>'4.tábla'!CP31-C208</f>
        <v>0</v>
      </c>
      <c r="H208" s="382">
        <f>'4.tábla'!CQ31-D208</f>
        <v>0.080999999307096</v>
      </c>
      <c r="I208" s="382">
        <f>'4.tábla'!CR31-E208</f>
        <v>-0.3999999996740371</v>
      </c>
    </row>
    <row r="209" spans="1:6" ht="14.25" customHeight="1">
      <c r="A209" s="1587"/>
      <c r="B209" s="1530"/>
      <c r="C209" s="1536"/>
      <c r="D209" s="1537"/>
      <c r="E209" s="1537"/>
      <c r="F209" s="1537"/>
    </row>
    <row r="210" spans="1:6" ht="20.25" customHeight="1">
      <c r="A210" s="1522" t="s">
        <v>457</v>
      </c>
      <c r="B210" s="1523" t="s">
        <v>526</v>
      </c>
      <c r="C210" s="1578"/>
      <c r="D210" s="1602"/>
      <c r="E210" s="1602"/>
      <c r="F210" s="1602"/>
    </row>
    <row r="211" spans="1:6" ht="12" customHeight="1">
      <c r="A211" s="1529"/>
      <c r="B211" s="1530"/>
      <c r="C211" s="1578"/>
      <c r="D211" s="1602"/>
      <c r="E211" s="1602"/>
      <c r="F211" s="1602"/>
    </row>
    <row r="212" spans="1:6" ht="12.75" customHeight="1">
      <c r="A212" s="1518">
        <v>1</v>
      </c>
      <c r="B212" s="1570" t="s">
        <v>18</v>
      </c>
      <c r="C212" s="1533">
        <v>1212</v>
      </c>
      <c r="D212" s="1569">
        <v>4448</v>
      </c>
      <c r="E212" s="1569">
        <v>2974.788</v>
      </c>
      <c r="F212" s="401">
        <f aca="true" t="shared" si="3" ref="F212:F229">E212/D212*100</f>
        <v>66.87922661870503</v>
      </c>
    </row>
    <row r="213" spans="1:6" ht="12.75" customHeight="1">
      <c r="A213" s="1518">
        <v>2</v>
      </c>
      <c r="B213" s="1586" t="s">
        <v>200</v>
      </c>
      <c r="C213" s="1533">
        <v>20320</v>
      </c>
      <c r="D213" s="1569">
        <v>32067</v>
      </c>
      <c r="E213" s="1569">
        <v>2756.027</v>
      </c>
      <c r="F213" s="401">
        <f t="shared" si="3"/>
        <v>8.594589453332086</v>
      </c>
    </row>
    <row r="214" spans="1:6" ht="12.75" customHeight="1">
      <c r="A214" s="1518">
        <v>3</v>
      </c>
      <c r="B214" s="1570" t="s">
        <v>988</v>
      </c>
      <c r="C214" s="1533">
        <v>31750</v>
      </c>
      <c r="D214" s="1569">
        <v>64371</v>
      </c>
      <c r="E214" s="1569">
        <v>20958.944</v>
      </c>
      <c r="F214" s="401">
        <f t="shared" si="3"/>
        <v>32.55960603377297</v>
      </c>
    </row>
    <row r="215" spans="1:6" ht="12.75" customHeight="1">
      <c r="A215" s="1518">
        <v>4</v>
      </c>
      <c r="B215" s="1586" t="s">
        <v>88</v>
      </c>
      <c r="C215" s="1533">
        <v>3810</v>
      </c>
      <c r="D215" s="1569">
        <v>5363</v>
      </c>
      <c r="E215" s="1569">
        <v>833.1790000000001</v>
      </c>
      <c r="F215" s="401">
        <f t="shared" si="3"/>
        <v>15.535688980048482</v>
      </c>
    </row>
    <row r="216" spans="1:6" ht="12.75" customHeight="1">
      <c r="A216" s="1518">
        <v>5</v>
      </c>
      <c r="B216" s="1586" t="s">
        <v>23</v>
      </c>
      <c r="C216" s="1533">
        <v>2540</v>
      </c>
      <c r="D216" s="1569">
        <v>2138</v>
      </c>
      <c r="E216" s="1569">
        <v>412.75</v>
      </c>
      <c r="F216" s="401">
        <f t="shared" si="3"/>
        <v>19.305425631431245</v>
      </c>
    </row>
    <row r="217" spans="1:6" ht="12.75" customHeight="1">
      <c r="A217" s="1518">
        <v>6</v>
      </c>
      <c r="B217" s="1585" t="s">
        <v>282</v>
      </c>
      <c r="C217" s="1533">
        <v>1588</v>
      </c>
      <c r="D217" s="1569">
        <v>11236</v>
      </c>
      <c r="E217" s="1569">
        <v>11166.741000000002</v>
      </c>
      <c r="F217" s="401">
        <f t="shared" si="3"/>
        <v>99.38359736561056</v>
      </c>
    </row>
    <row r="218" spans="1:6" ht="12.75" customHeight="1">
      <c r="A218" s="1518">
        <v>7</v>
      </c>
      <c r="B218" s="1586" t="s">
        <v>283</v>
      </c>
      <c r="C218" s="1533">
        <v>4572</v>
      </c>
      <c r="D218" s="1569">
        <v>4572</v>
      </c>
      <c r="E218" s="1569">
        <v>5341.518</v>
      </c>
      <c r="F218" s="1988">
        <f t="shared" si="3"/>
        <v>116.83110236220473</v>
      </c>
    </row>
    <row r="219" spans="1:6" ht="12.75" customHeight="1">
      <c r="A219" s="1518">
        <v>8</v>
      </c>
      <c r="B219" s="1586" t="s">
        <v>284</v>
      </c>
      <c r="C219" s="1533">
        <v>2794</v>
      </c>
      <c r="D219" s="1569">
        <v>4275</v>
      </c>
      <c r="E219" s="1569">
        <v>0</v>
      </c>
      <c r="F219" s="1988">
        <f t="shared" si="3"/>
        <v>0</v>
      </c>
    </row>
    <row r="220" spans="1:6" ht="12.75" customHeight="1">
      <c r="A220" s="1518">
        <v>9</v>
      </c>
      <c r="B220" s="1586" t="s">
        <v>201</v>
      </c>
      <c r="C220" s="1533">
        <v>1397</v>
      </c>
      <c r="D220" s="1569">
        <v>2032</v>
      </c>
      <c r="E220" s="1569">
        <v>0</v>
      </c>
      <c r="F220" s="401">
        <f t="shared" si="3"/>
        <v>0</v>
      </c>
    </row>
    <row r="221" spans="1:6" ht="12.75" customHeight="1">
      <c r="A221" s="1518">
        <v>10</v>
      </c>
      <c r="B221" s="1570" t="s">
        <v>87</v>
      </c>
      <c r="C221" s="1533">
        <v>747</v>
      </c>
      <c r="D221" s="1569">
        <v>291</v>
      </c>
      <c r="E221" s="1569">
        <v>290.9</v>
      </c>
      <c r="F221" s="401">
        <f t="shared" si="3"/>
        <v>99.96563573883161</v>
      </c>
    </row>
    <row r="222" spans="1:6" ht="12.75" customHeight="1">
      <c r="A222" s="1518">
        <v>11</v>
      </c>
      <c r="B222" s="1570" t="s">
        <v>202</v>
      </c>
      <c r="C222" s="1533">
        <v>0</v>
      </c>
      <c r="D222" s="1569">
        <v>0</v>
      </c>
      <c r="E222" s="1569">
        <v>0</v>
      </c>
      <c r="F222" s="401">
        <v>0</v>
      </c>
    </row>
    <row r="223" spans="1:6" ht="12.75" customHeight="1">
      <c r="A223" s="1518">
        <v>12</v>
      </c>
      <c r="B223" s="1570" t="s">
        <v>732</v>
      </c>
      <c r="C223" s="1533">
        <v>2362</v>
      </c>
      <c r="D223" s="1569">
        <v>0</v>
      </c>
      <c r="E223" s="1569">
        <v>0</v>
      </c>
      <c r="F223" s="401">
        <v>0</v>
      </c>
    </row>
    <row r="224" spans="1:6" ht="12.75" customHeight="1">
      <c r="A224" s="1518">
        <v>13</v>
      </c>
      <c r="B224" s="1570" t="s">
        <v>733</v>
      </c>
      <c r="C224" s="1533">
        <v>3810</v>
      </c>
      <c r="D224" s="1569">
        <v>3810</v>
      </c>
      <c r="E224" s="1569">
        <v>3740.9629999999997</v>
      </c>
      <c r="F224" s="401">
        <f t="shared" si="3"/>
        <v>98.18800524934382</v>
      </c>
    </row>
    <row r="225" spans="1:6" ht="12.75" customHeight="1">
      <c r="A225" s="1518">
        <v>14</v>
      </c>
      <c r="B225" s="1586" t="s">
        <v>280</v>
      </c>
      <c r="C225" s="1533">
        <v>0</v>
      </c>
      <c r="D225" s="1569">
        <v>16227</v>
      </c>
      <c r="E225" s="1569">
        <v>16306.79</v>
      </c>
      <c r="F225" s="401">
        <f t="shared" si="3"/>
        <v>100.49171134528872</v>
      </c>
    </row>
    <row r="226" spans="1:6" ht="12.75" customHeight="1">
      <c r="A226" s="1518">
        <v>15</v>
      </c>
      <c r="B226" s="1570" t="s">
        <v>17</v>
      </c>
      <c r="C226" s="1569">
        <v>0</v>
      </c>
      <c r="D226" s="1569">
        <v>2291</v>
      </c>
      <c r="E226" s="1569">
        <v>760.73</v>
      </c>
      <c r="F226" s="401">
        <f t="shared" si="3"/>
        <v>33.20515058926233</v>
      </c>
    </row>
    <row r="227" spans="1:6" ht="12.75" customHeight="1">
      <c r="A227" s="1518">
        <v>16</v>
      </c>
      <c r="B227" s="1570" t="s">
        <v>409</v>
      </c>
      <c r="C227" s="1533">
        <v>0</v>
      </c>
      <c r="D227" s="1569">
        <v>0</v>
      </c>
      <c r="E227" s="1569">
        <v>0</v>
      </c>
      <c r="F227" s="401">
        <v>0</v>
      </c>
    </row>
    <row r="228" spans="1:6" ht="12.75" customHeight="1">
      <c r="A228" s="1518">
        <v>17</v>
      </c>
      <c r="B228" s="1570" t="s">
        <v>1206</v>
      </c>
      <c r="C228" s="1569">
        <v>0</v>
      </c>
      <c r="D228" s="1569">
        <v>0</v>
      </c>
      <c r="E228" s="1569">
        <v>0</v>
      </c>
      <c r="F228" s="401">
        <v>0</v>
      </c>
    </row>
    <row r="229" spans="1:6" ht="12.75" customHeight="1">
      <c r="A229" s="1518">
        <v>18</v>
      </c>
      <c r="B229" s="1570" t="s">
        <v>1210</v>
      </c>
      <c r="C229" s="1533">
        <v>0</v>
      </c>
      <c r="D229" s="1569">
        <v>4496</v>
      </c>
      <c r="E229" s="1569">
        <v>4496.472</v>
      </c>
      <c r="F229" s="401">
        <f t="shared" si="3"/>
        <v>100.01049822064057</v>
      </c>
    </row>
    <row r="230" spans="1:6" ht="12.75" customHeight="1" hidden="1">
      <c r="A230" s="1518"/>
      <c r="B230" s="1570" t="s">
        <v>281</v>
      </c>
      <c r="C230" s="1533">
        <v>0</v>
      </c>
      <c r="D230" s="1569">
        <v>0</v>
      </c>
      <c r="E230" s="1569"/>
      <c r="F230" s="401"/>
    </row>
    <row r="231" spans="1:6" ht="12.75" customHeight="1" hidden="1">
      <c r="A231" s="1518"/>
      <c r="B231" s="1570" t="s">
        <v>203</v>
      </c>
      <c r="C231" s="1533"/>
      <c r="D231" s="1569">
        <v>0</v>
      </c>
      <c r="E231" s="1569"/>
      <c r="F231" s="401"/>
    </row>
    <row r="232" spans="1:6" ht="12.75" customHeight="1" hidden="1">
      <c r="A232" s="1518"/>
      <c r="B232" s="1570" t="s">
        <v>408</v>
      </c>
      <c r="C232" s="1533"/>
      <c r="D232" s="1569">
        <v>0</v>
      </c>
      <c r="E232" s="1569"/>
      <c r="F232" s="401"/>
    </row>
    <row r="233" spans="1:6" ht="12.75" customHeight="1" hidden="1">
      <c r="A233" s="1518"/>
      <c r="B233" s="1585" t="s">
        <v>734</v>
      </c>
      <c r="C233" s="1533"/>
      <c r="D233" s="1569">
        <v>0</v>
      </c>
      <c r="E233" s="1569"/>
      <c r="F233" s="401"/>
    </row>
    <row r="234" spans="1:6" ht="12.75" customHeight="1" hidden="1">
      <c r="A234" s="1518"/>
      <c r="B234" s="1570" t="s">
        <v>735</v>
      </c>
      <c r="C234" s="1533"/>
      <c r="D234" s="1569">
        <v>0</v>
      </c>
      <c r="E234" s="1569"/>
      <c r="F234" s="401"/>
    </row>
    <row r="235" spans="1:6" ht="12.75" customHeight="1" hidden="1">
      <c r="A235" s="1518"/>
      <c r="B235" s="1586" t="s">
        <v>736</v>
      </c>
      <c r="C235" s="1533"/>
      <c r="D235" s="1569">
        <v>0</v>
      </c>
      <c r="E235" s="1569"/>
      <c r="F235" s="401"/>
    </row>
    <row r="236" spans="1:6" ht="12.75" customHeight="1">
      <c r="A236" s="1518"/>
      <c r="B236" s="1585"/>
      <c r="C236" s="1533"/>
      <c r="D236" s="1569"/>
      <c r="E236" s="1569"/>
      <c r="F236" s="401"/>
    </row>
    <row r="237" spans="1:6" ht="9.75" customHeight="1" thickBot="1">
      <c r="A237" s="1518"/>
      <c r="B237" s="1570"/>
      <c r="C237" s="1533"/>
      <c r="D237" s="1569"/>
      <c r="E237" s="1569"/>
      <c r="F237" s="1569"/>
    </row>
    <row r="238" spans="1:9" ht="24.75" customHeight="1" thickBot="1">
      <c r="A238" s="1599" t="s">
        <v>737</v>
      </c>
      <c r="B238" s="1600" t="s">
        <v>1046</v>
      </c>
      <c r="C238" s="1604">
        <f>SUM(C212:C237)</f>
        <v>76902</v>
      </c>
      <c r="D238" s="1603">
        <f>SUM(D212:D237)</f>
        <v>157617</v>
      </c>
      <c r="E238" s="1603">
        <f>SUM(E212:E237)</f>
        <v>70039.802</v>
      </c>
      <c r="F238" s="1606">
        <f>E238/D238*100</f>
        <v>44.43670543152071</v>
      </c>
      <c r="G238" s="382">
        <f>'4.tábla'!DE31-C238</f>
        <v>0</v>
      </c>
      <c r="H238" s="382">
        <f>'4.tábla'!DF31-D238</f>
        <v>0</v>
      </c>
      <c r="I238" s="382">
        <f>'4.tábla'!DG31-E238</f>
        <v>0</v>
      </c>
    </row>
    <row r="239" spans="1:5" ht="12.75">
      <c r="A239"/>
      <c r="B239" s="91"/>
      <c r="C239" s="382"/>
      <c r="D239" s="555"/>
      <c r="E239"/>
    </row>
    <row r="240" spans="1:5" ht="12.75">
      <c r="A240"/>
      <c r="B240" s="91"/>
      <c r="C240" s="555"/>
      <c r="D240" s="994"/>
      <c r="E240"/>
    </row>
    <row r="241" spans="1:5" ht="12.75">
      <c r="A241"/>
      <c r="B241" s="91"/>
      <c r="C241" s="555"/>
      <c r="D241" s="555"/>
      <c r="E241"/>
    </row>
    <row r="242" spans="1:5" ht="12.75">
      <c r="A242"/>
      <c r="B242" s="91"/>
      <c r="C242" s="555"/>
      <c r="D242" s="555"/>
      <c r="E242"/>
    </row>
    <row r="243" spans="1:5" ht="12.75">
      <c r="A243"/>
      <c r="B243" s="91"/>
      <c r="C243" s="555"/>
      <c r="D243" s="994"/>
      <c r="E243"/>
    </row>
    <row r="244" spans="1:5" ht="12.75">
      <c r="A244"/>
      <c r="B244" s="91"/>
      <c r="C244" s="555"/>
      <c r="D244" s="555"/>
      <c r="E244"/>
    </row>
    <row r="245" spans="1:5" ht="12.75">
      <c r="A245"/>
      <c r="B245" s="91"/>
      <c r="C245" s="555"/>
      <c r="D245" s="555"/>
      <c r="E245"/>
    </row>
    <row r="246" spans="1:5" ht="12.75">
      <c r="A246"/>
      <c r="B246" s="91"/>
      <c r="C246" s="555"/>
      <c r="D246" s="555"/>
      <c r="E246"/>
    </row>
    <row r="247" spans="1:5" ht="12.75">
      <c r="A247"/>
      <c r="B247" s="91"/>
      <c r="C247" s="555"/>
      <c r="D247" s="555"/>
      <c r="E247"/>
    </row>
    <row r="248" spans="1:5" ht="12.75">
      <c r="A248"/>
      <c r="B248" s="91"/>
      <c r="C248" s="555"/>
      <c r="D248" s="555"/>
      <c r="E248"/>
    </row>
    <row r="249" spans="1:5" ht="12.75">
      <c r="A249"/>
      <c r="B249" s="91"/>
      <c r="C249" s="555"/>
      <c r="D249" s="555"/>
      <c r="E249"/>
    </row>
    <row r="250" spans="1:5" ht="12.75">
      <c r="A250"/>
      <c r="B250" s="91"/>
      <c r="C250" s="555"/>
      <c r="D250" s="555"/>
      <c r="E250"/>
    </row>
    <row r="251" spans="1:5" ht="12.75">
      <c r="A251"/>
      <c r="B251" s="91"/>
      <c r="C251" s="555"/>
      <c r="D251" s="555"/>
      <c r="E251"/>
    </row>
    <row r="252" spans="1:5" ht="12.75">
      <c r="A252"/>
      <c r="B252" s="91"/>
      <c r="C252" s="555"/>
      <c r="D252" s="555"/>
      <c r="E252"/>
    </row>
    <row r="253" spans="1:5" ht="12.75">
      <c r="A253"/>
      <c r="B253" s="91"/>
      <c r="C253" s="555"/>
      <c r="D253" s="555"/>
      <c r="E253"/>
    </row>
    <row r="254" spans="1:5" ht="12.75">
      <c r="A254"/>
      <c r="B254" s="91"/>
      <c r="C254" s="555"/>
      <c r="D254" s="555"/>
      <c r="E254"/>
    </row>
    <row r="255" spans="1:5" ht="12.75">
      <c r="A255"/>
      <c r="B255" s="91"/>
      <c r="C255" s="555"/>
      <c r="D255" s="555"/>
      <c r="E255"/>
    </row>
    <row r="256" spans="1:5" ht="12.75">
      <c r="A256"/>
      <c r="B256" s="91"/>
      <c r="C256" s="555"/>
      <c r="D256" s="555"/>
      <c r="E256"/>
    </row>
    <row r="257" spans="1:5" ht="12.75">
      <c r="A257"/>
      <c r="B257" s="91"/>
      <c r="C257" s="555"/>
      <c r="D257" s="555"/>
      <c r="E257"/>
    </row>
    <row r="258" spans="1:5" ht="12.75">
      <c r="A258"/>
      <c r="B258" s="91"/>
      <c r="C258" s="555"/>
      <c r="D258" s="555"/>
      <c r="E258"/>
    </row>
    <row r="259" spans="1:5" ht="12.75">
      <c r="A259"/>
      <c r="B259" s="91"/>
      <c r="C259" s="555"/>
      <c r="D259" s="555"/>
      <c r="E259"/>
    </row>
    <row r="260" spans="1:5" ht="12.75">
      <c r="A260"/>
      <c r="B260" s="91"/>
      <c r="C260" s="555"/>
      <c r="D260" s="555"/>
      <c r="E260"/>
    </row>
    <row r="261" spans="1:5" ht="12.75">
      <c r="A261"/>
      <c r="B261" s="91"/>
      <c r="C261" s="555"/>
      <c r="D261" s="555"/>
      <c r="E261"/>
    </row>
    <row r="262" spans="1:5" ht="12.75">
      <c r="A262"/>
      <c r="B262" s="91"/>
      <c r="C262" s="555"/>
      <c r="D262" s="555"/>
      <c r="E262"/>
    </row>
    <row r="263" spans="1:5" ht="12.75">
      <c r="A263"/>
      <c r="B263" s="91"/>
      <c r="C263" s="555"/>
      <c r="D263" s="555"/>
      <c r="E263"/>
    </row>
    <row r="264" spans="1:5" ht="12.75">
      <c r="A264"/>
      <c r="B264" s="91"/>
      <c r="C264" s="555"/>
      <c r="D264" s="555"/>
      <c r="E264"/>
    </row>
    <row r="265" spans="1:5" ht="12.75">
      <c r="A265"/>
      <c r="B265" s="91"/>
      <c r="C265" s="555"/>
      <c r="D265" s="555"/>
      <c r="E265"/>
    </row>
    <row r="266" spans="1:5" ht="12.75">
      <c r="A266"/>
      <c r="B266" s="91"/>
      <c r="C266" s="555"/>
      <c r="D266" s="555"/>
      <c r="E266"/>
    </row>
    <row r="267" spans="1:5" ht="12.75">
      <c r="A267"/>
      <c r="B267" s="91"/>
      <c r="C267" s="555"/>
      <c r="D267" s="555"/>
      <c r="E267"/>
    </row>
    <row r="268" spans="1:5" ht="12.75">
      <c r="A268"/>
      <c r="B268" s="91"/>
      <c r="C268" s="555"/>
      <c r="D268" s="555"/>
      <c r="E268"/>
    </row>
    <row r="269" spans="1:5" ht="12.75">
      <c r="A269"/>
      <c r="B269" s="91"/>
      <c r="C269" s="555"/>
      <c r="D269" s="555"/>
      <c r="E269"/>
    </row>
    <row r="270" spans="1:5" ht="12.75">
      <c r="A270"/>
      <c r="B270" s="91"/>
      <c r="C270" s="555"/>
      <c r="D270" s="555"/>
      <c r="E270"/>
    </row>
    <row r="271" spans="1:5" ht="12.75">
      <c r="A271"/>
      <c r="B271" s="91"/>
      <c r="C271" s="555"/>
      <c r="D271" s="555"/>
      <c r="E271"/>
    </row>
    <row r="272" spans="1:5" ht="12.75">
      <c r="A272"/>
      <c r="B272" s="91"/>
      <c r="C272" s="555"/>
      <c r="D272" s="555"/>
      <c r="E272"/>
    </row>
    <row r="273" spans="1:5" ht="12.75">
      <c r="A273"/>
      <c r="B273" s="91"/>
      <c r="C273" s="555"/>
      <c r="D273" s="555"/>
      <c r="E273"/>
    </row>
    <row r="274" spans="1:5" ht="12.75">
      <c r="A274"/>
      <c r="B274" s="91"/>
      <c r="C274" s="555"/>
      <c r="D274" s="555"/>
      <c r="E274"/>
    </row>
    <row r="275" spans="1:5" ht="12.75">
      <c r="A275"/>
      <c r="B275" s="91"/>
      <c r="C275" s="555"/>
      <c r="D275" s="555"/>
      <c r="E275"/>
    </row>
    <row r="276" spans="1:5" ht="12.75">
      <c r="A276"/>
      <c r="B276" s="91"/>
      <c r="C276" s="555"/>
      <c r="D276" s="555"/>
      <c r="E276"/>
    </row>
    <row r="277" spans="1:5" ht="12.75">
      <c r="A277"/>
      <c r="B277" s="91"/>
      <c r="C277" s="555"/>
      <c r="D277" s="555"/>
      <c r="E277"/>
    </row>
    <row r="278" spans="1:5" ht="12.75">
      <c r="A278"/>
      <c r="B278" s="91"/>
      <c r="C278" s="555"/>
      <c r="D278" s="555"/>
      <c r="E278"/>
    </row>
    <row r="279" spans="1:5" ht="12.75">
      <c r="A279"/>
      <c r="B279" s="91"/>
      <c r="C279" s="555"/>
      <c r="D279" s="555"/>
      <c r="E279"/>
    </row>
    <row r="280" spans="1:5" ht="12.75">
      <c r="A280"/>
      <c r="B280" s="91"/>
      <c r="C280" s="555"/>
      <c r="D280" s="555"/>
      <c r="E280"/>
    </row>
    <row r="281" spans="1:5" ht="12.75">
      <c r="A281"/>
      <c r="B281" s="91"/>
      <c r="C281" s="555"/>
      <c r="D281" s="555"/>
      <c r="E281"/>
    </row>
    <row r="282" spans="1:5" ht="12.75">
      <c r="A282"/>
      <c r="B282" s="91"/>
      <c r="C282" s="555"/>
      <c r="D282" s="555"/>
      <c r="E282"/>
    </row>
    <row r="283" spans="1:5" ht="12.75">
      <c r="A283"/>
      <c r="B283" s="91"/>
      <c r="C283" s="555"/>
      <c r="D283" s="555"/>
      <c r="E283"/>
    </row>
    <row r="284" spans="1:5" ht="12.75">
      <c r="A284"/>
      <c r="B284" s="91"/>
      <c r="C284" s="555"/>
      <c r="D284" s="555"/>
      <c r="E284"/>
    </row>
    <row r="285" spans="1:5" ht="12.75">
      <c r="A285"/>
      <c r="B285" s="91"/>
      <c r="C285" s="555"/>
      <c r="D285" s="555"/>
      <c r="E285"/>
    </row>
    <row r="286" spans="1:5" ht="12.75">
      <c r="A286"/>
      <c r="B286" s="91"/>
      <c r="C286" s="555"/>
      <c r="D286" s="555"/>
      <c r="E286"/>
    </row>
    <row r="287" spans="1:5" ht="12.75">
      <c r="A287"/>
      <c r="B287" s="91"/>
      <c r="C287" s="555"/>
      <c r="D287" s="555"/>
      <c r="E287"/>
    </row>
    <row r="288" spans="1:5" ht="12.75">
      <c r="A288"/>
      <c r="B288" s="91"/>
      <c r="C288" s="555"/>
      <c r="D288" s="555"/>
      <c r="E288"/>
    </row>
    <row r="289" spans="1:5" ht="12.75">
      <c r="A289"/>
      <c r="B289" s="91"/>
      <c r="C289" s="555"/>
      <c r="D289" s="555"/>
      <c r="E289"/>
    </row>
    <row r="290" spans="1:5" ht="12.75">
      <c r="A290"/>
      <c r="B290" s="91"/>
      <c r="C290" s="555"/>
      <c r="D290" s="555"/>
      <c r="E290"/>
    </row>
    <row r="291" spans="1:5" ht="12.75">
      <c r="A291"/>
      <c r="B291" s="91"/>
      <c r="C291" s="555"/>
      <c r="D291" s="555"/>
      <c r="E291"/>
    </row>
    <row r="292" spans="1:5" ht="12.75">
      <c r="A292"/>
      <c r="B292" s="91"/>
      <c r="C292" s="555"/>
      <c r="D292" s="555"/>
      <c r="E292"/>
    </row>
    <row r="293" spans="1:5" ht="12.75">
      <c r="A293"/>
      <c r="B293" s="91"/>
      <c r="C293" s="555"/>
      <c r="D293" s="555"/>
      <c r="E293"/>
    </row>
    <row r="294" spans="1:5" ht="12.75">
      <c r="A294"/>
      <c r="B294" s="91"/>
      <c r="C294" s="555"/>
      <c r="D294" s="555"/>
      <c r="E294"/>
    </row>
    <row r="295" spans="1:5" ht="12.75">
      <c r="A295"/>
      <c r="B295" s="91"/>
      <c r="C295" s="555"/>
      <c r="D295" s="555"/>
      <c r="E295"/>
    </row>
    <row r="296" spans="1:5" ht="12.75">
      <c r="A296"/>
      <c r="B296" s="91"/>
      <c r="C296" s="555"/>
      <c r="D296" s="555"/>
      <c r="E296"/>
    </row>
    <row r="297" spans="1:5" ht="12.75">
      <c r="A297"/>
      <c r="B297" s="91"/>
      <c r="C297" s="555"/>
      <c r="D297" s="555"/>
      <c r="E297"/>
    </row>
    <row r="298" spans="1:5" ht="12.75">
      <c r="A298"/>
      <c r="B298" s="91"/>
      <c r="C298" s="555"/>
      <c r="D298" s="555"/>
      <c r="E298"/>
    </row>
    <row r="299" spans="1:5" ht="12.75">
      <c r="A299"/>
      <c r="B299" s="91"/>
      <c r="C299" s="555"/>
      <c r="D299" s="555"/>
      <c r="E299"/>
    </row>
    <row r="300" spans="1:5" ht="12.75">
      <c r="A300"/>
      <c r="B300" s="91"/>
      <c r="C300" s="555"/>
      <c r="D300" s="555"/>
      <c r="E300"/>
    </row>
    <row r="301" spans="1:5" ht="12.75">
      <c r="A301"/>
      <c r="B301" s="91"/>
      <c r="C301" s="555"/>
      <c r="D301" s="555"/>
      <c r="E301"/>
    </row>
    <row r="302" spans="1:5" ht="12.75">
      <c r="A302"/>
      <c r="B302" s="91"/>
      <c r="C302" s="555"/>
      <c r="D302" s="555"/>
      <c r="E302"/>
    </row>
    <row r="303" spans="1:5" ht="12.75">
      <c r="A303"/>
      <c r="B303" s="91"/>
      <c r="C303" s="555"/>
      <c r="D303" s="555"/>
      <c r="E303"/>
    </row>
    <row r="304" spans="1:5" ht="12.75">
      <c r="A304"/>
      <c r="B304" s="91"/>
      <c r="C304" s="555"/>
      <c r="D304" s="555"/>
      <c r="E304"/>
    </row>
    <row r="305" spans="1:5" ht="12.75">
      <c r="A305"/>
      <c r="B305" s="91"/>
      <c r="C305" s="555"/>
      <c r="D305" s="555"/>
      <c r="E305"/>
    </row>
    <row r="306" spans="1:5" ht="12.75">
      <c r="A306"/>
      <c r="B306" s="91"/>
      <c r="C306" s="555"/>
      <c r="D306" s="555"/>
      <c r="E306"/>
    </row>
    <row r="307" spans="1:5" ht="12.75">
      <c r="A307"/>
      <c r="B307" s="91"/>
      <c r="C307" s="555"/>
      <c r="D307" s="555"/>
      <c r="E307"/>
    </row>
    <row r="308" spans="1:5" ht="12.75">
      <c r="A308"/>
      <c r="B308" s="91"/>
      <c r="C308" s="555"/>
      <c r="D308" s="555"/>
      <c r="E308"/>
    </row>
    <row r="309" spans="1:5" ht="12.75">
      <c r="A309"/>
      <c r="B309" s="91"/>
      <c r="C309" s="555"/>
      <c r="D309" s="555"/>
      <c r="E309"/>
    </row>
    <row r="310" spans="1:5" ht="12.75">
      <c r="A310"/>
      <c r="B310" s="91"/>
      <c r="C310" s="555"/>
      <c r="D310" s="555"/>
      <c r="E310"/>
    </row>
    <row r="311" spans="1:5" ht="12.75">
      <c r="A311"/>
      <c r="B311" s="91"/>
      <c r="C311" s="555"/>
      <c r="D311" s="555"/>
      <c r="E311"/>
    </row>
    <row r="312" spans="1:5" ht="12.75">
      <c r="A312"/>
      <c r="B312" s="91"/>
      <c r="C312" s="555"/>
      <c r="D312" s="555"/>
      <c r="E312"/>
    </row>
    <row r="313" spans="1:5" ht="12.75">
      <c r="A313"/>
      <c r="B313" s="91"/>
      <c r="C313" s="555"/>
      <c r="D313" s="555"/>
      <c r="E313"/>
    </row>
    <row r="314" spans="1:5" ht="12.75">
      <c r="A314"/>
      <c r="B314" s="91"/>
      <c r="C314" s="555"/>
      <c r="D314" s="555"/>
      <c r="E314"/>
    </row>
    <row r="315" spans="1:5" ht="12.75">
      <c r="A315"/>
      <c r="B315" s="91"/>
      <c r="C315" s="555"/>
      <c r="D315" s="555"/>
      <c r="E315"/>
    </row>
    <row r="316" spans="1:5" ht="12.75">
      <c r="A316"/>
      <c r="B316" s="91"/>
      <c r="C316" s="555"/>
      <c r="D316" s="555"/>
      <c r="E316"/>
    </row>
    <row r="317" spans="1:5" ht="12.75">
      <c r="A317"/>
      <c r="B317" s="91"/>
      <c r="C317" s="555"/>
      <c r="D317" s="555"/>
      <c r="E317"/>
    </row>
    <row r="318" spans="1:5" ht="12.75">
      <c r="A318"/>
      <c r="B318" s="91"/>
      <c r="C318" s="555"/>
      <c r="D318" s="555"/>
      <c r="E318"/>
    </row>
    <row r="319" spans="1:5" ht="12.75">
      <c r="A319"/>
      <c r="B319" s="91"/>
      <c r="C319" s="555"/>
      <c r="D319" s="555"/>
      <c r="E319"/>
    </row>
    <row r="320" spans="1:5" ht="12.75">
      <c r="A320"/>
      <c r="B320" s="91"/>
      <c r="C320" s="555"/>
      <c r="D320" s="555"/>
      <c r="E320"/>
    </row>
    <row r="321" spans="1:5" ht="12.75">
      <c r="A321"/>
      <c r="B321" s="91"/>
      <c r="C321" s="555"/>
      <c r="D321" s="555"/>
      <c r="E321"/>
    </row>
    <row r="322" spans="1:5" ht="12.75">
      <c r="A322"/>
      <c r="B322" s="91"/>
      <c r="C322" s="555"/>
      <c r="D322" s="555"/>
      <c r="E322"/>
    </row>
    <row r="323" spans="1:5" ht="12.75">
      <c r="A323"/>
      <c r="B323" s="91"/>
      <c r="C323" s="555"/>
      <c r="D323" s="555"/>
      <c r="E323"/>
    </row>
    <row r="324" spans="1:5" ht="12.75">
      <c r="A324"/>
      <c r="B324" s="91"/>
      <c r="C324" s="555"/>
      <c r="D324" s="555"/>
      <c r="E324"/>
    </row>
    <row r="325" spans="1:5" ht="12.75">
      <c r="A325"/>
      <c r="B325" s="91"/>
      <c r="C325" s="555"/>
      <c r="D325" s="555"/>
      <c r="E325"/>
    </row>
    <row r="326" spans="1:5" ht="12.75">
      <c r="A326"/>
      <c r="B326" s="91"/>
      <c r="C326" s="555"/>
      <c r="D326" s="555"/>
      <c r="E326"/>
    </row>
    <row r="327" spans="1:5" ht="12.75">
      <c r="A327"/>
      <c r="B327" s="91"/>
      <c r="C327" s="555"/>
      <c r="D327" s="555"/>
      <c r="E327"/>
    </row>
    <row r="328" spans="1:5" ht="12.75">
      <c r="A328"/>
      <c r="B328" s="91"/>
      <c r="C328" s="555"/>
      <c r="D328" s="555"/>
      <c r="E328"/>
    </row>
    <row r="329" spans="1:5" ht="12.75">
      <c r="A329"/>
      <c r="B329" s="91"/>
      <c r="C329" s="555"/>
      <c r="D329" s="555"/>
      <c r="E329"/>
    </row>
    <row r="330" spans="1:5" ht="12.75">
      <c r="A330"/>
      <c r="B330" s="91"/>
      <c r="C330" s="555"/>
      <c r="D330" s="555"/>
      <c r="E330"/>
    </row>
    <row r="331" spans="1:5" ht="12.75">
      <c r="A331"/>
      <c r="B331" s="91"/>
      <c r="C331" s="555"/>
      <c r="D331" s="555"/>
      <c r="E331"/>
    </row>
    <row r="332" spans="1:5" ht="12.75">
      <c r="A332"/>
      <c r="B332" s="91"/>
      <c r="C332" s="555"/>
      <c r="D332" s="555"/>
      <c r="E332"/>
    </row>
    <row r="333" spans="1:5" ht="12.75">
      <c r="A333"/>
      <c r="B333" s="91"/>
      <c r="C333" s="555"/>
      <c r="D333" s="555"/>
      <c r="E333"/>
    </row>
    <row r="334" spans="1:5" ht="12.75">
      <c r="A334"/>
      <c r="B334" s="91"/>
      <c r="C334" s="555"/>
      <c r="D334" s="555"/>
      <c r="E334"/>
    </row>
    <row r="335" spans="1:5" ht="12.75">
      <c r="A335"/>
      <c r="B335" s="91"/>
      <c r="C335" s="555"/>
      <c r="D335" s="555"/>
      <c r="E335"/>
    </row>
    <row r="336" spans="1:5" ht="12.75">
      <c r="A336"/>
      <c r="B336" s="91"/>
      <c r="C336" s="555"/>
      <c r="D336" s="555"/>
      <c r="E336"/>
    </row>
    <row r="337" spans="1:5" ht="12.75">
      <c r="A337"/>
      <c r="B337" s="91"/>
      <c r="C337" s="555"/>
      <c r="D337" s="555"/>
      <c r="E337"/>
    </row>
    <row r="338" spans="1:5" ht="12.75">
      <c r="A338"/>
      <c r="B338" s="91"/>
      <c r="C338" s="555"/>
      <c r="D338" s="555"/>
      <c r="E338"/>
    </row>
    <row r="339" spans="1:5" ht="12.75">
      <c r="A339"/>
      <c r="B339" s="91"/>
      <c r="C339" s="555"/>
      <c r="D339" s="555"/>
      <c r="E339"/>
    </row>
    <row r="340" spans="1:5" ht="12.75">
      <c r="A340"/>
      <c r="B340" s="91"/>
      <c r="C340" s="555"/>
      <c r="D340" s="555"/>
      <c r="E340"/>
    </row>
    <row r="341" spans="1:5" ht="12.75">
      <c r="A341"/>
      <c r="B341" s="91"/>
      <c r="C341" s="555"/>
      <c r="D341" s="555"/>
      <c r="E341"/>
    </row>
    <row r="342" spans="1:5" ht="12.75">
      <c r="A342"/>
      <c r="B342" s="91"/>
      <c r="C342" s="555"/>
      <c r="D342" s="555"/>
      <c r="E342"/>
    </row>
    <row r="343" spans="1:5" ht="12.75">
      <c r="A343"/>
      <c r="B343" s="91"/>
      <c r="C343" s="555"/>
      <c r="D343" s="555"/>
      <c r="E343"/>
    </row>
    <row r="344" spans="1:5" ht="12.75">
      <c r="A344"/>
      <c r="B344" s="91"/>
      <c r="C344" s="555"/>
      <c r="D344" s="555"/>
      <c r="E344"/>
    </row>
    <row r="345" spans="1:5" ht="12.75">
      <c r="A345"/>
      <c r="B345" s="91"/>
      <c r="C345" s="555"/>
      <c r="D345" s="555"/>
      <c r="E345"/>
    </row>
    <row r="346" spans="1:5" ht="12.75">
      <c r="A346"/>
      <c r="B346" s="91"/>
      <c r="C346" s="555"/>
      <c r="D346" s="555"/>
      <c r="E346"/>
    </row>
    <row r="347" spans="1:5" ht="12.75">
      <c r="A347"/>
      <c r="B347" s="91"/>
      <c r="C347" s="555"/>
      <c r="D347" s="555"/>
      <c r="E347"/>
    </row>
    <row r="348" spans="1:5" ht="12.75">
      <c r="A348"/>
      <c r="B348" s="91"/>
      <c r="C348" s="555"/>
      <c r="D348" s="555"/>
      <c r="E348"/>
    </row>
    <row r="349" spans="1:5" ht="12.75">
      <c r="A349"/>
      <c r="B349" s="91"/>
      <c r="C349" s="555"/>
      <c r="D349" s="555"/>
      <c r="E349"/>
    </row>
    <row r="350" spans="1:5" ht="12.75">
      <c r="A350"/>
      <c r="B350" s="91"/>
      <c r="C350" s="555"/>
      <c r="D350" s="555"/>
      <c r="E350"/>
    </row>
    <row r="351" spans="1:5" ht="12.75">
      <c r="A351"/>
      <c r="B351" s="91"/>
      <c r="C351" s="555"/>
      <c r="D351" s="555"/>
      <c r="E351"/>
    </row>
    <row r="352" spans="1:5" ht="12.75">
      <c r="A352"/>
      <c r="B352" s="91"/>
      <c r="C352" s="555"/>
      <c r="D352" s="555"/>
      <c r="E352"/>
    </row>
    <row r="353" spans="1:5" ht="12.75">
      <c r="A353"/>
      <c r="B353" s="91"/>
      <c r="C353" s="555"/>
      <c r="D353" s="555"/>
      <c r="E353"/>
    </row>
    <row r="354" spans="1:5" ht="12.75">
      <c r="A354"/>
      <c r="B354" s="91"/>
      <c r="C354" s="555"/>
      <c r="D354" s="555"/>
      <c r="E354"/>
    </row>
    <row r="355" spans="1:5" ht="12.75">
      <c r="A355"/>
      <c r="B355" s="91"/>
      <c r="C355" s="555"/>
      <c r="D355" s="555"/>
      <c r="E355"/>
    </row>
    <row r="356" spans="1:5" ht="12.75">
      <c r="A356"/>
      <c r="B356" s="91"/>
      <c r="C356" s="555"/>
      <c r="D356" s="555"/>
      <c r="E356"/>
    </row>
    <row r="357" spans="1:5" ht="12.75">
      <c r="A357"/>
      <c r="B357" s="91"/>
      <c r="C357" s="555"/>
      <c r="D357" s="555"/>
      <c r="E357"/>
    </row>
    <row r="358" spans="1:5" ht="12.75">
      <c r="A358"/>
      <c r="B358" s="91"/>
      <c r="C358" s="555"/>
      <c r="D358" s="555"/>
      <c r="E358"/>
    </row>
    <row r="359" spans="1:5" ht="12.75">
      <c r="A359"/>
      <c r="B359" s="91"/>
      <c r="C359" s="555"/>
      <c r="D359" s="555"/>
      <c r="E359"/>
    </row>
    <row r="360" spans="1:5" ht="12.75">
      <c r="A360"/>
      <c r="B360" s="91"/>
      <c r="C360" s="555"/>
      <c r="D360" s="555"/>
      <c r="E360"/>
    </row>
    <row r="361" spans="1:5" ht="12.75">
      <c r="A361"/>
      <c r="B361" s="91"/>
      <c r="C361" s="555"/>
      <c r="D361" s="555"/>
      <c r="E361"/>
    </row>
    <row r="362" spans="1:5" ht="12.75">
      <c r="A362"/>
      <c r="B362" s="91"/>
      <c r="C362" s="555"/>
      <c r="D362" s="555"/>
      <c r="E362"/>
    </row>
    <row r="363" spans="1:5" ht="12.75">
      <c r="A363"/>
      <c r="B363" s="91"/>
      <c r="C363" s="555"/>
      <c r="D363" s="555"/>
      <c r="E363"/>
    </row>
    <row r="364" spans="1:5" ht="12.75">
      <c r="A364"/>
      <c r="B364" s="91"/>
      <c r="C364" s="555"/>
      <c r="D364" s="555"/>
      <c r="E364"/>
    </row>
    <row r="365" spans="1:5" ht="12.75">
      <c r="A365"/>
      <c r="B365" s="91"/>
      <c r="C365" s="555"/>
      <c r="D365" s="555"/>
      <c r="E365"/>
    </row>
    <row r="366" spans="1:5" ht="12.75">
      <c r="A366"/>
      <c r="B366" s="91"/>
      <c r="C366" s="555"/>
      <c r="D366" s="555"/>
      <c r="E366"/>
    </row>
  </sheetData>
  <sheetProtection/>
  <mergeCells count="2">
    <mergeCell ref="A6:F6"/>
    <mergeCell ref="A7:F7"/>
  </mergeCells>
  <printOptions horizontalCentered="1"/>
  <pageMargins left="0.1968503937007874" right="0" top="0.35433070866141736" bottom="0.3937007874015748" header="0.2362204724409449" footer="0.15748031496062992"/>
  <pageSetup horizontalDpi="600" verticalDpi="600" orientation="portrait" paperSize="9" scale="78" r:id="rId1"/>
  <headerFooter alignWithMargins="0">
    <oddFooter>&amp;C15. tábla &amp;P. oldal</oddFooter>
  </headerFooter>
  <rowBreaks count="2" manualBreakCount="2">
    <brk id="98" max="5" man="1"/>
    <brk id="1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0"/>
  <sheetViews>
    <sheetView zoomScale="80" zoomScaleNormal="80" zoomScalePageLayoutView="0" workbookViewId="0" topLeftCell="A20">
      <selection activeCell="F3" sqref="F3"/>
    </sheetView>
  </sheetViews>
  <sheetFormatPr defaultColWidth="9.00390625" defaultRowHeight="12.75"/>
  <cols>
    <col min="1" max="1" width="8.00390625" style="32" customWidth="1"/>
    <col min="2" max="2" width="70.375" style="32" customWidth="1"/>
    <col min="3" max="3" width="18.75390625" style="32" customWidth="1"/>
    <col min="4" max="4" width="18.75390625" style="31" customWidth="1"/>
    <col min="5" max="6" width="18.75390625" style="32" customWidth="1"/>
    <col min="7" max="7" width="9.125" style="32" customWidth="1"/>
    <col min="8" max="8" width="13.375" style="32" customWidth="1"/>
    <col min="9" max="16384" width="9.125" style="32" customWidth="1"/>
  </cols>
  <sheetData>
    <row r="1" ht="8.25" customHeight="1"/>
    <row r="2" spans="1:6" ht="12.75">
      <c r="A2" s="1029"/>
      <c r="F2" s="1030" t="s">
        <v>1256</v>
      </c>
    </row>
    <row r="3" ht="12.75">
      <c r="F3" s="1030" t="s">
        <v>71</v>
      </c>
    </row>
    <row r="4" ht="12.75" hidden="1">
      <c r="F4" s="1030" t="s">
        <v>894</v>
      </c>
    </row>
    <row r="6" spans="1:6" ht="18.75">
      <c r="A6" s="2186" t="s">
        <v>800</v>
      </c>
      <c r="B6" s="2186"/>
      <c r="C6" s="2186"/>
      <c r="D6" s="2186"/>
      <c r="E6" s="2186"/>
      <c r="F6" s="2186"/>
    </row>
    <row r="7" spans="1:6" ht="18.75">
      <c r="A7" s="2187" t="s">
        <v>72</v>
      </c>
      <c r="B7" s="2187"/>
      <c r="C7" s="2187"/>
      <c r="D7" s="2187"/>
      <c r="E7" s="2187"/>
      <c r="F7" s="2187"/>
    </row>
    <row r="8" ht="13.5" thickBot="1"/>
    <row r="9" spans="1:6" ht="12.75">
      <c r="A9" s="1031" t="s">
        <v>878</v>
      </c>
      <c r="B9" s="1032" t="s">
        <v>878</v>
      </c>
      <c r="C9" s="1033" t="s">
        <v>389</v>
      </c>
      <c r="D9" s="1034" t="s">
        <v>389</v>
      </c>
      <c r="E9" s="1034" t="s">
        <v>389</v>
      </c>
      <c r="F9" s="1035" t="s">
        <v>389</v>
      </c>
    </row>
    <row r="10" spans="1:6" ht="12.75">
      <c r="A10" s="1036" t="s">
        <v>187</v>
      </c>
      <c r="B10" s="1037" t="s">
        <v>907</v>
      </c>
      <c r="C10" s="1038" t="s">
        <v>1005</v>
      </c>
      <c r="D10" s="1039" t="s">
        <v>1006</v>
      </c>
      <c r="E10" s="90" t="s">
        <v>190</v>
      </c>
      <c r="F10" s="373" t="s">
        <v>190</v>
      </c>
    </row>
    <row r="11" spans="1:6" ht="13.5" thickBot="1">
      <c r="A11" s="1040"/>
      <c r="B11" s="1041"/>
      <c r="C11" s="1042" t="s">
        <v>4</v>
      </c>
      <c r="D11" s="1043" t="s">
        <v>4</v>
      </c>
      <c r="E11" s="1044"/>
      <c r="F11" s="637" t="s">
        <v>303</v>
      </c>
    </row>
    <row r="12" spans="1:6" ht="12.75">
      <c r="A12" s="1045">
        <v>1</v>
      </c>
      <c r="B12" s="1046">
        <v>2</v>
      </c>
      <c r="C12" s="1047">
        <v>3</v>
      </c>
      <c r="D12" s="1048">
        <v>4</v>
      </c>
      <c r="E12" s="1047">
        <v>5</v>
      </c>
      <c r="F12" s="1047">
        <v>6</v>
      </c>
    </row>
    <row r="13" spans="1:17" ht="18" customHeight="1">
      <c r="A13" s="1049" t="s">
        <v>482</v>
      </c>
      <c r="B13" s="1050" t="s">
        <v>1111</v>
      </c>
      <c r="C13" s="1051">
        <f>SUM(C14:C16)</f>
        <v>10163502</v>
      </c>
      <c r="D13" s="1051">
        <f>SUM(D14:D16)</f>
        <v>11228284.33</v>
      </c>
      <c r="E13" s="1051">
        <f>SUM(E14:E16)</f>
        <v>10150433.411</v>
      </c>
      <c r="F13" s="1052">
        <f aca="true" t="shared" si="0" ref="F13:F22">E13/D13*100</f>
        <v>90.40057334387079</v>
      </c>
      <c r="G13" s="4"/>
      <c r="H13" s="4"/>
      <c r="J13" s="4"/>
      <c r="K13" s="4"/>
      <c r="L13" s="4"/>
      <c r="M13" s="4"/>
      <c r="N13" s="4"/>
      <c r="O13" s="4"/>
      <c r="P13" s="4"/>
      <c r="Q13" s="4"/>
    </row>
    <row r="14" spans="1:6" ht="16.5" customHeight="1">
      <c r="A14" s="1053" t="s">
        <v>908</v>
      </c>
      <c r="B14" s="1054" t="s">
        <v>952</v>
      </c>
      <c r="C14" s="1023">
        <f>'4.tábla'!DN15</f>
        <v>3472166</v>
      </c>
      <c r="D14" s="1023">
        <f>'4.tábla'!DO15</f>
        <v>3956108.937</v>
      </c>
      <c r="E14" s="1023">
        <f>'4.tábla'!DP15</f>
        <v>3733309</v>
      </c>
      <c r="F14" s="1055">
        <f t="shared" si="0"/>
        <v>94.36820521001745</v>
      </c>
    </row>
    <row r="15" spans="1:6" ht="16.5" customHeight="1">
      <c r="A15" s="1053" t="s">
        <v>909</v>
      </c>
      <c r="B15" s="1054" t="s">
        <v>396</v>
      </c>
      <c r="C15" s="1023">
        <f>'4.tábla'!DN16</f>
        <v>911526</v>
      </c>
      <c r="D15" s="1023">
        <f>'4.tábla'!DO16</f>
        <v>999134.437</v>
      </c>
      <c r="E15" s="1023">
        <f>'4.tábla'!DP16</f>
        <v>933642.87</v>
      </c>
      <c r="F15" s="1055">
        <f t="shared" si="0"/>
        <v>93.44516968140493</v>
      </c>
    </row>
    <row r="16" spans="1:6" ht="16.5" customHeight="1">
      <c r="A16" s="1053" t="s">
        <v>911</v>
      </c>
      <c r="B16" s="1054" t="s">
        <v>953</v>
      </c>
      <c r="C16" s="1023">
        <f>'4.tábla'!DN17</f>
        <v>5779810</v>
      </c>
      <c r="D16" s="1023">
        <f>'4.tábla'!DO17</f>
        <v>6273040.956</v>
      </c>
      <c r="E16" s="1023">
        <f>'4.tábla'!DP17</f>
        <v>5483481.541</v>
      </c>
      <c r="F16" s="1055">
        <f t="shared" si="0"/>
        <v>87.41345034189825</v>
      </c>
    </row>
    <row r="17" spans="1:6" ht="18" customHeight="1">
      <c r="A17" s="1049" t="s">
        <v>155</v>
      </c>
      <c r="B17" s="1056" t="s">
        <v>52</v>
      </c>
      <c r="C17" s="796">
        <f>SUM(C18:C19)</f>
        <v>50524</v>
      </c>
      <c r="D17" s="796">
        <f>SUM(D18:D19)</f>
        <v>604798</v>
      </c>
      <c r="E17" s="796">
        <f>SUM(E18:E19)</f>
        <v>591702.389</v>
      </c>
      <c r="F17" s="1057">
        <f t="shared" si="0"/>
        <v>97.83471324309934</v>
      </c>
    </row>
    <row r="18" spans="1:6" ht="12.75">
      <c r="A18" s="1058" t="s">
        <v>53</v>
      </c>
      <c r="B18" s="1059" t="s">
        <v>954</v>
      </c>
      <c r="C18" s="792">
        <f>'4.tábla'!DN19</f>
        <v>25000</v>
      </c>
      <c r="D18" s="792">
        <f>'4.tábla'!DO19</f>
        <v>522779</v>
      </c>
      <c r="E18" s="792">
        <f>'4.tábla'!DP19</f>
        <v>532889</v>
      </c>
      <c r="F18" s="1055">
        <f t="shared" si="0"/>
        <v>101.93389558494124</v>
      </c>
    </row>
    <row r="19" spans="1:6" ht="12.75">
      <c r="A19" s="1058" t="s">
        <v>54</v>
      </c>
      <c r="B19" s="1059" t="s">
        <v>955</v>
      </c>
      <c r="C19" s="792">
        <f>'4.tábla'!DN20</f>
        <v>25524</v>
      </c>
      <c r="D19" s="792">
        <f>'4.tábla'!DO20</f>
        <v>82019</v>
      </c>
      <c r="E19" s="792">
        <f>'4.tábla'!DP20</f>
        <v>58813.389</v>
      </c>
      <c r="F19" s="1055">
        <f t="shared" si="0"/>
        <v>71.70703007839647</v>
      </c>
    </row>
    <row r="20" spans="1:6" ht="18" customHeight="1">
      <c r="A20" s="1060" t="s">
        <v>156</v>
      </c>
      <c r="B20" s="1061" t="s">
        <v>55</v>
      </c>
      <c r="C20" s="796">
        <f>SUM(C21:C22)</f>
        <v>547644</v>
      </c>
      <c r="D20" s="796">
        <f>SUM(D21:D22)</f>
        <v>657570</v>
      </c>
      <c r="E20" s="796">
        <f>SUM(E21:E22)</f>
        <v>532254</v>
      </c>
      <c r="F20" s="1057">
        <f t="shared" si="0"/>
        <v>80.94256124823212</v>
      </c>
    </row>
    <row r="21" spans="1:6" ht="16.5" customHeight="1">
      <c r="A21" s="1058" t="s">
        <v>56</v>
      </c>
      <c r="B21" s="1059" t="s">
        <v>962</v>
      </c>
      <c r="C21" s="792">
        <f>'4.tábla'!DN22</f>
        <v>436694</v>
      </c>
      <c r="D21" s="792">
        <f>'4.tábla'!DO22</f>
        <v>456407</v>
      </c>
      <c r="E21" s="792">
        <f>'4.tábla'!DP22</f>
        <v>429289</v>
      </c>
      <c r="F21" s="1055">
        <f t="shared" si="0"/>
        <v>94.05837333783225</v>
      </c>
    </row>
    <row r="22" spans="1:6" ht="16.5" customHeight="1">
      <c r="A22" s="1058" t="s">
        <v>990</v>
      </c>
      <c r="B22" s="1059" t="s">
        <v>956</v>
      </c>
      <c r="C22" s="792">
        <f>'4.tábla'!DN23</f>
        <v>110950</v>
      </c>
      <c r="D22" s="792">
        <f>'4.tábla'!DO23</f>
        <v>201163</v>
      </c>
      <c r="E22" s="792">
        <f>'4.tábla'!DP23</f>
        <v>102965</v>
      </c>
      <c r="F22" s="1055">
        <f t="shared" si="0"/>
        <v>51.18486003887395</v>
      </c>
    </row>
    <row r="23" spans="1:6" ht="18" customHeight="1">
      <c r="A23" s="1060" t="s">
        <v>157</v>
      </c>
      <c r="B23" s="1062" t="s">
        <v>957</v>
      </c>
      <c r="C23" s="796">
        <f>'4.tábla'!DN24</f>
        <v>323889</v>
      </c>
      <c r="D23" s="796">
        <f>'4.tábla'!DO24</f>
        <v>314875</v>
      </c>
      <c r="E23" s="796">
        <f>'4.tábla'!DP24</f>
        <v>284007</v>
      </c>
      <c r="F23" s="1057">
        <f aca="true" t="shared" si="1" ref="F23:F28">E23/D23*100</f>
        <v>90.19674473997618</v>
      </c>
    </row>
    <row r="24" spans="1:6" ht="18" customHeight="1">
      <c r="A24" s="1060" t="s">
        <v>158</v>
      </c>
      <c r="B24" s="1062" t="s">
        <v>124</v>
      </c>
      <c r="C24" s="796">
        <f>'4.tábla'!DN25</f>
        <v>9510</v>
      </c>
      <c r="D24" s="796">
        <f>'4.tábla'!DO25</f>
        <v>10485</v>
      </c>
      <c r="E24" s="796">
        <f>'4.tábla'!DP25</f>
        <v>8515</v>
      </c>
      <c r="F24" s="1057">
        <f t="shared" si="1"/>
        <v>81.21125417262756</v>
      </c>
    </row>
    <row r="25" spans="1:6" ht="18" customHeight="1">
      <c r="A25" s="1060" t="s">
        <v>159</v>
      </c>
      <c r="B25" s="1062" t="s">
        <v>63</v>
      </c>
      <c r="C25" s="796">
        <f>SUM(C26:C28)</f>
        <v>1747175</v>
      </c>
      <c r="D25" s="796">
        <f>SUM(D26:D28)</f>
        <v>1772416</v>
      </c>
      <c r="E25" s="796">
        <f>SUM(E26:E28)</f>
        <v>0</v>
      </c>
      <c r="F25" s="1057">
        <f t="shared" si="1"/>
        <v>0</v>
      </c>
    </row>
    <row r="26" spans="1:6" ht="16.5" customHeight="1">
      <c r="A26" s="1058" t="s">
        <v>991</v>
      </c>
      <c r="B26" s="1063" t="s">
        <v>958</v>
      </c>
      <c r="C26" s="792">
        <f>'4.tábla'!DN27</f>
        <v>133000</v>
      </c>
      <c r="D26" s="792">
        <f>'4.tábla'!DO27</f>
        <v>104847</v>
      </c>
      <c r="E26" s="792">
        <f>'4.tábla'!DP27</f>
        <v>0</v>
      </c>
      <c r="F26" s="1055">
        <f t="shared" si="1"/>
        <v>0</v>
      </c>
    </row>
    <row r="27" spans="1:6" ht="16.5" customHeight="1">
      <c r="A27" s="1058" t="s">
        <v>992</v>
      </c>
      <c r="B27" s="1063" t="s">
        <v>959</v>
      </c>
      <c r="C27" s="792">
        <f>'4.tábla'!DN28</f>
        <v>264000</v>
      </c>
      <c r="D27" s="792">
        <f>'4.tábla'!DO28</f>
        <v>103074</v>
      </c>
      <c r="E27" s="792">
        <f>'4.tábla'!DP28</f>
        <v>0</v>
      </c>
      <c r="F27" s="1055">
        <f t="shared" si="1"/>
        <v>0</v>
      </c>
    </row>
    <row r="28" spans="1:6" s="31" customFormat="1" ht="16.5" customHeight="1">
      <c r="A28" s="1058" t="s">
        <v>993</v>
      </c>
      <c r="B28" s="1063" t="s">
        <v>960</v>
      </c>
      <c r="C28" s="794">
        <f>'4.tábla'!DN29</f>
        <v>1350175</v>
      </c>
      <c r="D28" s="794">
        <f>'4.tábla'!DO29</f>
        <v>1564495</v>
      </c>
      <c r="E28" s="794">
        <f>'4.tábla'!DP29</f>
        <v>0</v>
      </c>
      <c r="F28" s="1055">
        <f t="shared" si="1"/>
        <v>0</v>
      </c>
    </row>
    <row r="29" spans="1:6" ht="18" customHeight="1">
      <c r="A29" s="1049" t="s">
        <v>160</v>
      </c>
      <c r="B29" s="1050" t="s">
        <v>961</v>
      </c>
      <c r="C29" s="795">
        <f>'4.tábla'!DN30</f>
        <v>27940</v>
      </c>
      <c r="D29" s="795">
        <f>'4.tábla'!DO30</f>
        <v>118637</v>
      </c>
      <c r="E29" s="795">
        <f>'4.tábla'!DP30</f>
        <v>98033.763</v>
      </c>
      <c r="F29" s="1057">
        <f aca="true" t="shared" si="2" ref="F29:F37">E29/D29*100</f>
        <v>82.63337997420705</v>
      </c>
    </row>
    <row r="30" spans="1:6" ht="18" customHeight="1">
      <c r="A30" s="1064" t="s">
        <v>161</v>
      </c>
      <c r="B30" s="1065" t="s">
        <v>192</v>
      </c>
      <c r="C30" s="795">
        <f>'4.tábla'!DN31</f>
        <v>1776056</v>
      </c>
      <c r="D30" s="795">
        <f>'4.tábla'!DO31</f>
        <v>3389078.6159999995</v>
      </c>
      <c r="E30" s="795">
        <f>'4.tábla'!DP31</f>
        <v>2083652.697</v>
      </c>
      <c r="F30" s="1057">
        <f t="shared" si="2"/>
        <v>61.4813916432324</v>
      </c>
    </row>
    <row r="31" spans="1:6" ht="18" customHeight="1">
      <c r="A31" s="1064">
        <v>9</v>
      </c>
      <c r="B31" s="1050" t="s">
        <v>810</v>
      </c>
      <c r="C31" s="795">
        <f>SUM(C32:C33)</f>
        <v>15200</v>
      </c>
      <c r="D31" s="795">
        <f>SUM(D32:D33)</f>
        <v>25007</v>
      </c>
      <c r="E31" s="795">
        <f>SUM(E32:E33)</f>
        <v>10360</v>
      </c>
      <c r="F31" s="1057">
        <f t="shared" si="2"/>
        <v>41.428400047986564</v>
      </c>
    </row>
    <row r="32" spans="1:6" ht="16.5" customHeight="1">
      <c r="A32" s="1058" t="s">
        <v>1078</v>
      </c>
      <c r="B32" s="1063" t="s">
        <v>811</v>
      </c>
      <c r="C32" s="792">
        <f>'4.tábla'!DN33</f>
        <v>200</v>
      </c>
      <c r="D32" s="792">
        <f>'4.tábla'!DO33</f>
        <v>200</v>
      </c>
      <c r="E32" s="792">
        <f>'4.tábla'!DP33</f>
        <v>0</v>
      </c>
      <c r="F32" s="1055">
        <f t="shared" si="2"/>
        <v>0</v>
      </c>
    </row>
    <row r="33" spans="1:6" ht="16.5" customHeight="1" thickBot="1">
      <c r="A33" s="1067" t="s">
        <v>1079</v>
      </c>
      <c r="B33" s="1063" t="s">
        <v>812</v>
      </c>
      <c r="C33" s="792">
        <f>'4.tábla'!DN34</f>
        <v>15000</v>
      </c>
      <c r="D33" s="792">
        <f>'4.tábla'!DO34</f>
        <v>24807</v>
      </c>
      <c r="E33" s="792">
        <f>'4.tábla'!DP34</f>
        <v>10360</v>
      </c>
      <c r="F33" s="1068">
        <f t="shared" si="2"/>
        <v>41.76240577256419</v>
      </c>
    </row>
    <row r="34" spans="1:6" s="31" customFormat="1" ht="25.5" customHeight="1" thickBot="1">
      <c r="A34" s="1069" t="s">
        <v>174</v>
      </c>
      <c r="B34" s="1070" t="s">
        <v>994</v>
      </c>
      <c r="C34" s="793">
        <f>C13+C17+C20+C23+C24+C25+C29+C30+C31</f>
        <v>14661440</v>
      </c>
      <c r="D34" s="793">
        <f>D13+D17+D20+D23+D24+D25+D29+D30+D31</f>
        <v>18121150.946</v>
      </c>
      <c r="E34" s="793">
        <f>E13+E17+E20+E23+E24+E25+E29+E30+E31</f>
        <v>13758958.260000002</v>
      </c>
      <c r="F34" s="1071">
        <f t="shared" si="2"/>
        <v>75.92761795870977</v>
      </c>
    </row>
    <row r="35" spans="1:6" s="31" customFormat="1" ht="25.5" customHeight="1" thickBot="1">
      <c r="A35" s="1064" t="s">
        <v>163</v>
      </c>
      <c r="B35" s="1066" t="s">
        <v>177</v>
      </c>
      <c r="C35" s="793">
        <f>'4.tábla'!DN36</f>
        <v>0</v>
      </c>
      <c r="D35" s="793">
        <f>'4.tábla'!DO36</f>
        <v>750000</v>
      </c>
      <c r="E35" s="793">
        <f>'4.tábla'!DP36</f>
        <v>749991</v>
      </c>
      <c r="F35" s="1057">
        <f>E35/D35*100</f>
        <v>99.9988</v>
      </c>
    </row>
    <row r="36" spans="1:6" s="31" customFormat="1" ht="18" customHeight="1" thickBot="1">
      <c r="A36" s="1069" t="s">
        <v>164</v>
      </c>
      <c r="B36" s="1072" t="s">
        <v>1081</v>
      </c>
      <c r="C36" s="793">
        <f>'4.tábla'!DN37</f>
        <v>86897</v>
      </c>
      <c r="D36" s="793">
        <f>'4.tábla'!DO37</f>
        <v>128793</v>
      </c>
      <c r="E36" s="793">
        <f>'4.tábla'!DP37</f>
        <v>128793</v>
      </c>
      <c r="F36" s="1071">
        <f t="shared" si="2"/>
        <v>100</v>
      </c>
    </row>
    <row r="37" spans="1:6" s="31" customFormat="1" ht="25.5" customHeight="1" thickBot="1">
      <c r="A37" s="1069" t="s">
        <v>457</v>
      </c>
      <c r="B37" s="1257" t="s">
        <v>1082</v>
      </c>
      <c r="C37" s="793">
        <f>SUM(C35:C36)</f>
        <v>86897</v>
      </c>
      <c r="D37" s="793">
        <f>SUM(D35:D36)</f>
        <v>878793</v>
      </c>
      <c r="E37" s="793">
        <f>SUM(E35:E36)</f>
        <v>878784</v>
      </c>
      <c r="F37" s="1071">
        <f t="shared" si="2"/>
        <v>99.99897586803719</v>
      </c>
    </row>
    <row r="38" spans="1:6" s="31" customFormat="1" ht="18" customHeight="1" thickBot="1">
      <c r="A38" s="1069" t="s">
        <v>5</v>
      </c>
      <c r="B38" s="1070" t="s">
        <v>189</v>
      </c>
      <c r="C38" s="793"/>
      <c r="D38" s="793"/>
      <c r="E38" s="793">
        <f>'4.tábla'!DP39</f>
        <v>-88198</v>
      </c>
      <c r="F38" s="793"/>
    </row>
    <row r="39" spans="1:6" s="31" customFormat="1" ht="26.25" customHeight="1" thickBot="1">
      <c r="A39" s="1069"/>
      <c r="B39" s="1070" t="s">
        <v>995</v>
      </c>
      <c r="C39" s="793">
        <f>C34+C37+C38</f>
        <v>14748337</v>
      </c>
      <c r="D39" s="793">
        <f>D34+D37+D38</f>
        <v>18999943.946</v>
      </c>
      <c r="E39" s="793">
        <f>E34+E37+E38</f>
        <v>14549544.260000002</v>
      </c>
      <c r="F39" s="1071">
        <f>E39/D39*100</f>
        <v>76.57677465444877</v>
      </c>
    </row>
    <row r="40" spans="1:5" ht="15.75">
      <c r="A40" s="1025"/>
      <c r="B40" s="4"/>
      <c r="C40" s="1073"/>
      <c r="D40" s="1073"/>
      <c r="E40" s="1073"/>
    </row>
    <row r="41" spans="1:5" ht="12.75">
      <c r="A41" s="2"/>
      <c r="B41" s="4" t="s">
        <v>878</v>
      </c>
      <c r="C41" s="5"/>
      <c r="D41" s="5"/>
      <c r="E41" s="5"/>
    </row>
    <row r="42" spans="1:5" ht="12.75">
      <c r="A42" s="2"/>
      <c r="B42" s="4"/>
      <c r="C42" s="4"/>
      <c r="D42" s="6"/>
      <c r="E42" s="4"/>
    </row>
    <row r="43" spans="1:5" ht="12.75">
      <c r="A43" s="1025"/>
      <c r="B43" s="4"/>
      <c r="C43" s="4"/>
      <c r="D43" s="1074"/>
      <c r="E43" s="5"/>
    </row>
    <row r="44" spans="1:4" ht="12.75">
      <c r="A44" s="4"/>
      <c r="D44" s="1075"/>
    </row>
    <row r="45" spans="1:4" ht="12.75">
      <c r="A45" s="4"/>
      <c r="D45" s="1075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</sheetData>
  <sheetProtection/>
  <mergeCells count="2">
    <mergeCell ref="A6:F6"/>
    <mergeCell ref="A7:F7"/>
  </mergeCells>
  <printOptions horizontalCentered="1" verticalCentered="1"/>
  <pageMargins left="0.15748031496062992" right="0.15748031496062992" top="0.31" bottom="0.32" header="0.11811023622047245" footer="0.17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P83"/>
  <sheetViews>
    <sheetView zoomScale="80" zoomScaleNormal="80" zoomScalePageLayoutView="0" workbookViewId="0" topLeftCell="A1">
      <pane xSplit="2" ySplit="8" topLeftCell="C9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F4" sqref="F4"/>
    </sheetView>
  </sheetViews>
  <sheetFormatPr defaultColWidth="9.00390625" defaultRowHeight="12.75"/>
  <cols>
    <col min="1" max="1" width="6.25390625" style="0" customWidth="1"/>
    <col min="2" max="2" width="74.625" style="0" customWidth="1"/>
    <col min="3" max="5" width="15.625" style="0" customWidth="1"/>
    <col min="6" max="6" width="15.25390625" style="0" customWidth="1"/>
    <col min="7" max="7" width="8.875" style="0" customWidth="1"/>
    <col min="9" max="9" width="9.875" style="0" customWidth="1"/>
  </cols>
  <sheetData>
    <row r="1" spans="1:7" ht="12.75" customHeight="1">
      <c r="A1" s="555"/>
      <c r="B1" s="555"/>
      <c r="C1" s="353"/>
      <c r="D1" s="353"/>
      <c r="E1" s="353"/>
      <c r="F1" s="558"/>
      <c r="G1" s="558"/>
    </row>
    <row r="2" spans="1:7" ht="11.25" customHeight="1">
      <c r="A2" s="555"/>
      <c r="B2" s="555"/>
      <c r="C2" s="353"/>
      <c r="D2" s="353"/>
      <c r="E2" s="353"/>
      <c r="F2" s="558"/>
      <c r="G2" s="558"/>
    </row>
    <row r="3" spans="1:6" ht="20.25" customHeight="1">
      <c r="A3" s="2311"/>
      <c r="B3" s="2311"/>
      <c r="C3" s="2311"/>
      <c r="D3" s="2311"/>
      <c r="E3" s="2311"/>
      <c r="F3" s="2311"/>
    </row>
    <row r="4" spans="1:6" ht="13.5" thickBot="1">
      <c r="A4" s="1890"/>
      <c r="B4" s="1890"/>
      <c r="C4" s="1890"/>
      <c r="D4" s="1890"/>
      <c r="E4" s="1890"/>
      <c r="F4" s="1807" t="s">
        <v>1011</v>
      </c>
    </row>
    <row r="5" spans="1:6" ht="15" customHeight="1">
      <c r="A5" s="1808"/>
      <c r="B5" s="1808"/>
      <c r="C5" s="1891" t="s">
        <v>635</v>
      </c>
      <c r="D5" s="1892" t="s">
        <v>389</v>
      </c>
      <c r="E5" s="107" t="s">
        <v>302</v>
      </c>
      <c r="F5" s="107" t="s">
        <v>302</v>
      </c>
    </row>
    <row r="6" spans="1:6" ht="15" customHeight="1">
      <c r="A6" s="1893" t="s">
        <v>315</v>
      </c>
      <c r="B6" s="1811" t="s">
        <v>494</v>
      </c>
      <c r="C6" s="1894" t="s">
        <v>50</v>
      </c>
      <c r="D6" s="1895" t="s">
        <v>490</v>
      </c>
      <c r="E6" s="1812"/>
      <c r="F6" s="1896" t="s">
        <v>317</v>
      </c>
    </row>
    <row r="7" spans="1:6" ht="15" customHeight="1" thickBot="1">
      <c r="A7" s="1897" t="s">
        <v>316</v>
      </c>
      <c r="B7" s="1815"/>
      <c r="C7" s="1898" t="s">
        <v>4</v>
      </c>
      <c r="D7" s="1899" t="s">
        <v>4</v>
      </c>
      <c r="E7" s="1817"/>
      <c r="F7" s="1817"/>
    </row>
    <row r="8" spans="1:6" s="163" customFormat="1" ht="15" customHeight="1" thickBot="1">
      <c r="A8" s="1900">
        <v>1</v>
      </c>
      <c r="B8" s="1900">
        <v>2</v>
      </c>
      <c r="C8" s="1901">
        <v>3</v>
      </c>
      <c r="D8" s="1902">
        <v>4</v>
      </c>
      <c r="E8" s="1822">
        <v>5</v>
      </c>
      <c r="F8" s="1822">
        <v>6</v>
      </c>
    </row>
    <row r="9" spans="1:6" s="163" customFormat="1" ht="9.75" customHeight="1">
      <c r="A9" s="1826"/>
      <c r="B9" s="1826"/>
      <c r="C9" s="1826"/>
      <c r="D9" s="1827"/>
      <c r="E9" s="1903"/>
      <c r="F9" s="1828"/>
    </row>
    <row r="10" spans="1:6" s="163" customFormat="1" ht="20.25" customHeight="1">
      <c r="A10" s="1811" t="s">
        <v>5</v>
      </c>
      <c r="B10" s="1904" t="s">
        <v>1013</v>
      </c>
      <c r="C10" s="1826"/>
      <c r="D10" s="1827"/>
      <c r="E10" s="1903"/>
      <c r="F10" s="1828"/>
    </row>
    <row r="11" spans="1:6" ht="15">
      <c r="A11" s="1830"/>
      <c r="B11" s="1905" t="s">
        <v>332</v>
      </c>
      <c r="C11" s="1830"/>
      <c r="D11" s="1843">
        <v>972</v>
      </c>
      <c r="E11" s="1906">
        <v>972</v>
      </c>
      <c r="F11" s="1844">
        <f>E11/D11*100</f>
        <v>100</v>
      </c>
    </row>
    <row r="12" spans="1:6" ht="15" customHeight="1">
      <c r="A12" s="1834" t="s">
        <v>171</v>
      </c>
      <c r="B12" s="1907" t="s">
        <v>609</v>
      </c>
      <c r="C12" s="1836"/>
      <c r="D12" s="1837">
        <f>SUM(D11)</f>
        <v>972</v>
      </c>
      <c r="E12" s="1908">
        <f>SUM(E11)</f>
        <v>972</v>
      </c>
      <c r="F12" s="1838">
        <f>E12/D12*100</f>
        <v>100</v>
      </c>
    </row>
    <row r="13" spans="1:6" ht="9.75" customHeight="1">
      <c r="A13" s="1830"/>
      <c r="B13" s="1909"/>
      <c r="C13" s="1830"/>
      <c r="D13" s="1832"/>
      <c r="E13" s="1910"/>
      <c r="F13" s="1833"/>
    </row>
    <row r="14" spans="1:6" ht="15" customHeight="1">
      <c r="A14" s="1834" t="s">
        <v>529</v>
      </c>
      <c r="B14" s="1907" t="s">
        <v>610</v>
      </c>
      <c r="C14" s="1839"/>
      <c r="D14" s="1840">
        <v>0</v>
      </c>
      <c r="E14" s="1911">
        <v>0</v>
      </c>
      <c r="F14" s="1841">
        <v>0</v>
      </c>
    </row>
    <row r="15" spans="1:6" ht="9.75" customHeight="1">
      <c r="A15" s="1834"/>
      <c r="B15" s="1909"/>
      <c r="C15" s="1830"/>
      <c r="D15" s="1832"/>
      <c r="E15" s="1910"/>
      <c r="F15" s="1833"/>
    </row>
    <row r="16" spans="1:6" ht="15" customHeight="1">
      <c r="A16" s="1834" t="s">
        <v>1125</v>
      </c>
      <c r="B16" s="1907" t="s">
        <v>611</v>
      </c>
      <c r="C16" s="1839"/>
      <c r="D16" s="1840">
        <v>0</v>
      </c>
      <c r="E16" s="1911">
        <v>0</v>
      </c>
      <c r="F16" s="1841">
        <v>0</v>
      </c>
    </row>
    <row r="17" spans="1:6" ht="15" customHeight="1">
      <c r="A17" s="1834"/>
      <c r="B17" s="1905" t="s">
        <v>1228</v>
      </c>
      <c r="C17" s="1830"/>
      <c r="D17" s="1832">
        <v>6985</v>
      </c>
      <c r="E17" s="1910">
        <v>6985</v>
      </c>
      <c r="F17" s="1833">
        <f>E17/D17*100</f>
        <v>100</v>
      </c>
    </row>
    <row r="18" spans="1:6" ht="15" customHeight="1">
      <c r="A18" s="1834" t="s">
        <v>1109</v>
      </c>
      <c r="B18" s="1907" t="s">
        <v>613</v>
      </c>
      <c r="C18" s="1839"/>
      <c r="D18" s="1840">
        <f>SUM(D17)</f>
        <v>6985</v>
      </c>
      <c r="E18" s="1911">
        <f>SUM(E17)</f>
        <v>6985</v>
      </c>
      <c r="F18" s="1838">
        <f>E18/D18*100</f>
        <v>100</v>
      </c>
    </row>
    <row r="19" spans="1:6" ht="9.75" customHeight="1">
      <c r="A19" s="1834"/>
      <c r="B19" s="1907"/>
      <c r="C19" s="1839"/>
      <c r="D19" s="1840"/>
      <c r="E19" s="1911"/>
      <c r="F19" s="1841"/>
    </row>
    <row r="20" spans="1:6" ht="15" customHeight="1">
      <c r="A20" s="1834" t="s">
        <v>307</v>
      </c>
      <c r="B20" s="1907" t="s">
        <v>614</v>
      </c>
      <c r="C20" s="1839"/>
      <c r="D20" s="1840">
        <v>0</v>
      </c>
      <c r="E20" s="1911">
        <v>0</v>
      </c>
      <c r="F20" s="1841">
        <v>0</v>
      </c>
    </row>
    <row r="21" spans="1:6" ht="9.75" customHeight="1">
      <c r="A21" s="1834"/>
      <c r="B21" s="1907"/>
      <c r="C21" s="1839"/>
      <c r="D21" s="1840"/>
      <c r="E21" s="1911"/>
      <c r="F21" s="1841"/>
    </row>
    <row r="22" spans="1:6" ht="15" customHeight="1">
      <c r="A22" s="1834" t="s">
        <v>318</v>
      </c>
      <c r="B22" s="1907" t="s">
        <v>615</v>
      </c>
      <c r="C22" s="1839"/>
      <c r="D22" s="1840">
        <v>0</v>
      </c>
      <c r="E22" s="1911">
        <v>0</v>
      </c>
      <c r="F22" s="1841">
        <v>0</v>
      </c>
    </row>
    <row r="23" spans="1:6" ht="9.75" customHeight="1">
      <c r="A23" s="1834"/>
      <c r="B23" s="1907"/>
      <c r="C23" s="1839"/>
      <c r="D23" s="1840"/>
      <c r="E23" s="1911"/>
      <c r="F23" s="1841"/>
    </row>
    <row r="24" spans="1:6" ht="15" customHeight="1">
      <c r="A24" s="1834"/>
      <c r="B24" s="1905" t="s">
        <v>636</v>
      </c>
      <c r="C24" s="1912">
        <v>5550</v>
      </c>
      <c r="D24" s="1843">
        <f>5550+2385</f>
        <v>7935</v>
      </c>
      <c r="E24" s="1906">
        <v>3917</v>
      </c>
      <c r="F24" s="1844">
        <f>E24/D24*100</f>
        <v>49.363579080025204</v>
      </c>
    </row>
    <row r="25" spans="1:6" ht="9.75" customHeight="1" thickBot="1">
      <c r="A25" s="1860"/>
      <c r="B25" s="1912"/>
      <c r="C25" s="1839"/>
      <c r="D25" s="1840"/>
      <c r="E25" s="1911"/>
      <c r="F25" s="1841"/>
    </row>
    <row r="26" spans="1:8" ht="20.25" customHeight="1" thickBot="1">
      <c r="A26" s="1862" t="s">
        <v>482</v>
      </c>
      <c r="B26" s="1913" t="s">
        <v>616</v>
      </c>
      <c r="C26" s="1914">
        <f>C12+C14+C16+C18+C20+C22+C24</f>
        <v>5550</v>
      </c>
      <c r="D26" s="1915">
        <f>D12+D14+D16+D18+D20+D22+D24</f>
        <v>15892</v>
      </c>
      <c r="E26" s="1916">
        <f>E12+E14+E16+E18+E20+E22+E24</f>
        <v>11874</v>
      </c>
      <c r="F26" s="1917">
        <f>E26/D26*100</f>
        <v>74.7168386609615</v>
      </c>
      <c r="H26" s="1210"/>
    </row>
    <row r="27" spans="1:8" ht="9.75" customHeight="1">
      <c r="A27" s="1860"/>
      <c r="B27" s="1918"/>
      <c r="C27" s="1839"/>
      <c r="D27" s="1840"/>
      <c r="E27" s="1911"/>
      <c r="F27" s="1919"/>
      <c r="H27" s="1210"/>
    </row>
    <row r="28" spans="1:6" ht="15" customHeight="1">
      <c r="A28" s="1830"/>
      <c r="B28" s="1905" t="s">
        <v>637</v>
      </c>
      <c r="C28" s="1920">
        <v>700</v>
      </c>
      <c r="D28" s="1852">
        <v>700</v>
      </c>
      <c r="E28" s="1921">
        <v>490</v>
      </c>
      <c r="F28" s="1844">
        <f>E28/D28*100</f>
        <v>70</v>
      </c>
    </row>
    <row r="29" spans="1:6" s="164" customFormat="1" ht="15" customHeight="1">
      <c r="A29" s="1834" t="s">
        <v>171</v>
      </c>
      <c r="B29" s="1923" t="s">
        <v>617</v>
      </c>
      <c r="C29" s="1839">
        <v>700</v>
      </c>
      <c r="D29" s="1840">
        <f>SUM(D28)</f>
        <v>700</v>
      </c>
      <c r="E29" s="1911">
        <f>SUM(E28)</f>
        <v>490</v>
      </c>
      <c r="F29" s="1838">
        <f>E29/D29*100</f>
        <v>70</v>
      </c>
    </row>
    <row r="30" spans="1:6" s="164" customFormat="1" ht="15" customHeight="1">
      <c r="A30" s="1834"/>
      <c r="B30" s="1905" t="s">
        <v>637</v>
      </c>
      <c r="C30" s="1912">
        <v>400</v>
      </c>
      <c r="D30" s="1843">
        <v>400</v>
      </c>
      <c r="E30" s="1906">
        <v>140</v>
      </c>
      <c r="F30" s="1844">
        <f>E30/D30*100</f>
        <v>35</v>
      </c>
    </row>
    <row r="31" spans="1:6" s="164" customFormat="1" ht="15" customHeight="1">
      <c r="A31" s="1834"/>
      <c r="B31" s="1905" t="s">
        <v>1229</v>
      </c>
      <c r="C31" s="1912"/>
      <c r="D31" s="1843">
        <v>19433</v>
      </c>
      <c r="E31" s="1906">
        <v>6434</v>
      </c>
      <c r="F31" s="1844">
        <f>E31/D31*100</f>
        <v>33.10862965059435</v>
      </c>
    </row>
    <row r="32" spans="1:6" s="164" customFormat="1" ht="15" customHeight="1">
      <c r="A32" s="1834"/>
      <c r="B32" s="1905" t="s">
        <v>1223</v>
      </c>
      <c r="C32" s="1912"/>
      <c r="D32" s="1843">
        <f>2800-2626</f>
        <v>174</v>
      </c>
      <c r="E32" s="1906"/>
      <c r="F32" s="1844"/>
    </row>
    <row r="33" spans="1:6" s="164" customFormat="1" ht="15" customHeight="1">
      <c r="A33" s="1834" t="s">
        <v>529</v>
      </c>
      <c r="B33" s="1923" t="s">
        <v>619</v>
      </c>
      <c r="C33" s="1839">
        <v>400</v>
      </c>
      <c r="D33" s="1840">
        <f>SUM(D30:D32)</f>
        <v>20007</v>
      </c>
      <c r="E33" s="1840">
        <f>SUM(E30:E32)</f>
        <v>6574</v>
      </c>
      <c r="F33" s="1838">
        <f>E33/D33*100</f>
        <v>32.85849952516619</v>
      </c>
    </row>
    <row r="34" spans="1:6" s="164" customFormat="1" ht="15" customHeight="1">
      <c r="A34" s="1834"/>
      <c r="B34" s="1905" t="s">
        <v>637</v>
      </c>
      <c r="C34" s="1920">
        <v>700</v>
      </c>
      <c r="D34" s="1852"/>
      <c r="E34" s="1921"/>
      <c r="F34" s="1922"/>
    </row>
    <row r="35" spans="1:6" s="164" customFormat="1" ht="15" customHeight="1">
      <c r="A35" s="1834" t="s">
        <v>1125</v>
      </c>
      <c r="B35" s="1923" t="s">
        <v>620</v>
      </c>
      <c r="C35" s="1839">
        <v>700</v>
      </c>
      <c r="D35" s="1840">
        <f>SUM(D34)</f>
        <v>0</v>
      </c>
      <c r="E35" s="1911">
        <f>SUM(E34)</f>
        <v>0</v>
      </c>
      <c r="F35" s="1841">
        <v>0</v>
      </c>
    </row>
    <row r="36" spans="1:6" ht="15" customHeight="1">
      <c r="A36" s="1834"/>
      <c r="B36" s="1905" t="s">
        <v>637</v>
      </c>
      <c r="C36" s="1830">
        <v>600</v>
      </c>
      <c r="D36" s="1832"/>
      <c r="E36" s="1910"/>
      <c r="F36" s="1841"/>
    </row>
    <row r="37" spans="1:6" s="164" customFormat="1" ht="15" customHeight="1">
      <c r="A37" s="1834" t="s">
        <v>1109</v>
      </c>
      <c r="B37" s="1918" t="s">
        <v>621</v>
      </c>
      <c r="C37" s="1839">
        <v>600</v>
      </c>
      <c r="D37" s="1840">
        <f>SUM(D36)</f>
        <v>0</v>
      </c>
      <c r="E37" s="1911">
        <f>SUM(E36)</f>
        <v>0</v>
      </c>
      <c r="F37" s="1841">
        <v>0</v>
      </c>
    </row>
    <row r="38" spans="1:6" s="164" customFormat="1" ht="15" customHeight="1">
      <c r="A38" s="1834"/>
      <c r="B38" s="1905" t="s">
        <v>637</v>
      </c>
      <c r="C38" s="1856">
        <v>1200</v>
      </c>
      <c r="D38" s="1843">
        <f>1200-545</f>
        <v>655</v>
      </c>
      <c r="E38" s="1906"/>
      <c r="F38" s="1841"/>
    </row>
    <row r="39" spans="1:6" s="164" customFormat="1" ht="15" customHeight="1">
      <c r="A39" s="1834" t="s">
        <v>307</v>
      </c>
      <c r="B39" s="1907" t="s">
        <v>622</v>
      </c>
      <c r="C39" s="1839">
        <v>1200</v>
      </c>
      <c r="D39" s="1840">
        <f>SUM(D38)</f>
        <v>655</v>
      </c>
      <c r="E39" s="1911">
        <f>SUM(E38)</f>
        <v>0</v>
      </c>
      <c r="F39" s="1841">
        <v>0</v>
      </c>
    </row>
    <row r="40" spans="1:6" s="164" customFormat="1" ht="15" customHeight="1">
      <c r="A40" s="1834"/>
      <c r="B40" s="1905" t="s">
        <v>637</v>
      </c>
      <c r="C40" s="1920">
        <v>600</v>
      </c>
      <c r="D40" s="1852">
        <f>600-18</f>
        <v>582</v>
      </c>
      <c r="E40" s="1921">
        <v>215</v>
      </c>
      <c r="F40" s="1844">
        <f>E40/D40*100</f>
        <v>36.94158075601375</v>
      </c>
    </row>
    <row r="41" spans="1:6" ht="15" customHeight="1">
      <c r="A41" s="1834" t="s">
        <v>318</v>
      </c>
      <c r="B41" s="1907" t="s">
        <v>624</v>
      </c>
      <c r="C41" s="1839">
        <v>600</v>
      </c>
      <c r="D41" s="1840">
        <f>SUM(D40)</f>
        <v>582</v>
      </c>
      <c r="E41" s="1911">
        <f>SUM(E40)</f>
        <v>215</v>
      </c>
      <c r="F41" s="1838">
        <f>E41/D41*100</f>
        <v>36.94158075601375</v>
      </c>
    </row>
    <row r="42" spans="1:6" ht="15" customHeight="1">
      <c r="A42" s="1834"/>
      <c r="B42" s="1905" t="s">
        <v>637</v>
      </c>
      <c r="C42" s="1856">
        <v>600</v>
      </c>
      <c r="D42" s="1857"/>
      <c r="E42" s="1925"/>
      <c r="F42" s="1926"/>
    </row>
    <row r="43" spans="1:6" ht="15" customHeight="1">
      <c r="A43" s="1834" t="s">
        <v>319</v>
      </c>
      <c r="B43" s="1907" t="s">
        <v>625</v>
      </c>
      <c r="C43" s="1839">
        <v>600</v>
      </c>
      <c r="D43" s="1840">
        <f>SUM(D42)</f>
        <v>0</v>
      </c>
      <c r="E43" s="1911">
        <f>SUM(E42)</f>
        <v>0</v>
      </c>
      <c r="F43" s="1841">
        <v>0</v>
      </c>
    </row>
    <row r="44" spans="1:6" ht="15" customHeight="1">
      <c r="A44" s="1834"/>
      <c r="B44" s="1905" t="s">
        <v>637</v>
      </c>
      <c r="C44" s="1912">
        <v>1200</v>
      </c>
      <c r="D44" s="1843">
        <f>1200-515-264</f>
        <v>421</v>
      </c>
      <c r="E44" s="1906">
        <v>419</v>
      </c>
      <c r="F44" s="1844">
        <f>E44/D44*100</f>
        <v>99.5249406175772</v>
      </c>
    </row>
    <row r="45" spans="1:6" s="164" customFormat="1" ht="15" customHeight="1">
      <c r="A45" s="1834" t="s">
        <v>308</v>
      </c>
      <c r="B45" s="1907" t="s">
        <v>626</v>
      </c>
      <c r="C45" s="1839">
        <v>1200</v>
      </c>
      <c r="D45" s="1840">
        <f>SUM(D44)</f>
        <v>421</v>
      </c>
      <c r="E45" s="1911">
        <f>SUM(E44)</f>
        <v>419</v>
      </c>
      <c r="F45" s="1838">
        <f>E45/D45*100</f>
        <v>99.5249406175772</v>
      </c>
    </row>
    <row r="46" spans="1:11" s="164" customFormat="1" ht="15" customHeight="1">
      <c r="A46" s="1834"/>
      <c r="B46" s="1905" t="s">
        <v>637</v>
      </c>
      <c r="C46" s="1856">
        <v>600</v>
      </c>
      <c r="D46" s="1857"/>
      <c r="E46" s="1925"/>
      <c r="F46" s="1926"/>
      <c r="G46" s="383"/>
      <c r="H46" s="383"/>
      <c r="I46" s="383"/>
      <c r="J46" s="383"/>
      <c r="K46" s="383"/>
    </row>
    <row r="47" spans="1:6" s="164" customFormat="1" ht="15" customHeight="1">
      <c r="A47" s="1834" t="s">
        <v>309</v>
      </c>
      <c r="B47" s="1907" t="s">
        <v>627</v>
      </c>
      <c r="C47" s="1839">
        <v>600</v>
      </c>
      <c r="D47" s="1840">
        <f>SUM(D46)</f>
        <v>0</v>
      </c>
      <c r="E47" s="1911">
        <f>SUM(E46)</f>
        <v>0</v>
      </c>
      <c r="F47" s="1841">
        <v>0</v>
      </c>
    </row>
    <row r="48" spans="1:6" ht="15" customHeight="1">
      <c r="A48" s="1834"/>
      <c r="B48" s="1905" t="s">
        <v>637</v>
      </c>
      <c r="C48" s="1830">
        <v>700</v>
      </c>
      <c r="D48" s="1832"/>
      <c r="E48" s="1910"/>
      <c r="F48" s="1924"/>
    </row>
    <row r="49" spans="1:6" ht="15" customHeight="1">
      <c r="A49" s="1834" t="s">
        <v>310</v>
      </c>
      <c r="B49" s="1907" t="s">
        <v>628</v>
      </c>
      <c r="C49" s="1859">
        <v>700</v>
      </c>
      <c r="D49" s="1837">
        <f>SUM(D48)</f>
        <v>0</v>
      </c>
      <c r="E49" s="1908">
        <f>SUM(E48)</f>
        <v>0</v>
      </c>
      <c r="F49" s="1841">
        <v>0</v>
      </c>
    </row>
    <row r="50" spans="1:6" ht="15" customHeight="1">
      <c r="A50" s="1834"/>
      <c r="B50" s="1905" t="s">
        <v>637</v>
      </c>
      <c r="C50" s="1830">
        <v>1000</v>
      </c>
      <c r="D50" s="1832">
        <v>1000</v>
      </c>
      <c r="E50" s="1910">
        <v>584</v>
      </c>
      <c r="F50" s="1844">
        <f>E50/D50*100</f>
        <v>58.4</v>
      </c>
    </row>
    <row r="51" spans="1:6" s="164" customFormat="1" ht="15" customHeight="1">
      <c r="A51" s="1834" t="s">
        <v>311</v>
      </c>
      <c r="B51" s="1907" t="s">
        <v>1226</v>
      </c>
      <c r="C51" s="1839">
        <v>1000</v>
      </c>
      <c r="D51" s="1840">
        <f>SUM(D50)</f>
        <v>1000</v>
      </c>
      <c r="E51" s="1911">
        <f>SUM(E50)</f>
        <v>584</v>
      </c>
      <c r="F51" s="1838">
        <f>E51/D51*100</f>
        <v>58.4</v>
      </c>
    </row>
    <row r="52" spans="1:6" s="164" customFormat="1" ht="9.75" customHeight="1" thickBot="1">
      <c r="A52" s="1860"/>
      <c r="B52" s="1839"/>
      <c r="C52" s="1839"/>
      <c r="D52" s="1840"/>
      <c r="E52" s="1911"/>
      <c r="F52" s="1919"/>
    </row>
    <row r="53" spans="1:13" ht="21" customHeight="1" thickBot="1">
      <c r="A53" s="1862" t="s">
        <v>155</v>
      </c>
      <c r="B53" s="1928" t="s">
        <v>393</v>
      </c>
      <c r="C53" s="1873">
        <f>C29+C33+C35+C37+C39+C41+C43+C45+C47+C49+C51+C52</f>
        <v>8300</v>
      </c>
      <c r="D53" s="1874">
        <f>D29+D33+D35+D37+D39+D41+D43+D45+D47+D49+D51+D52</f>
        <v>23365</v>
      </c>
      <c r="E53" s="1929">
        <f>E29+E33+E35+E37+E39+E41+E43+E45+E47+E49+E51+E52</f>
        <v>8282</v>
      </c>
      <c r="F53" s="1917">
        <f>E53/D53*100</f>
        <v>35.44618018403595</v>
      </c>
      <c r="H53" s="8"/>
      <c r="I53" s="8"/>
      <c r="J53" s="8"/>
      <c r="K53" s="8"/>
      <c r="L53" s="8"/>
      <c r="M53" s="8"/>
    </row>
    <row r="54" spans="1:13" ht="9.75" customHeight="1">
      <c r="A54" s="1860"/>
      <c r="B54" s="1930"/>
      <c r="C54" s="1876"/>
      <c r="D54" s="1877"/>
      <c r="E54" s="1931"/>
      <c r="F54" s="1885"/>
      <c r="H54" s="8"/>
      <c r="I54" s="8"/>
      <c r="J54" s="8"/>
      <c r="K54" s="8"/>
      <c r="L54" s="8"/>
      <c r="M54" s="8"/>
    </row>
    <row r="55" spans="1:250" s="380" customFormat="1" ht="15" customHeight="1">
      <c r="A55" s="1860"/>
      <c r="B55" s="1905" t="s">
        <v>637</v>
      </c>
      <c r="C55" s="1912"/>
      <c r="D55" s="1840"/>
      <c r="E55" s="1911"/>
      <c r="F55" s="1919"/>
      <c r="G55"/>
      <c r="H55" s="8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G55" s="783"/>
      <c r="BI55" s="381"/>
      <c r="BP55" s="783"/>
      <c r="BR55" s="381"/>
      <c r="BY55" s="783"/>
      <c r="CA55" s="381"/>
      <c r="CH55" s="783"/>
      <c r="CJ55" s="381"/>
      <c r="CQ55" s="783"/>
      <c r="CS55" s="381"/>
      <c r="CZ55" s="783"/>
      <c r="DB55" s="381"/>
      <c r="DI55" s="783"/>
      <c r="DK55" s="381"/>
      <c r="DR55" s="783"/>
      <c r="DT55" s="381"/>
      <c r="EA55" s="783"/>
      <c r="EC55" s="381"/>
      <c r="EJ55" s="783"/>
      <c r="EL55" s="381"/>
      <c r="ES55" s="783"/>
      <c r="EU55" s="381"/>
      <c r="FB55" s="783"/>
      <c r="FD55" s="381"/>
      <c r="FK55" s="783"/>
      <c r="FM55" s="381"/>
      <c r="FT55" s="783"/>
      <c r="FV55" s="381"/>
      <c r="GC55" s="783"/>
      <c r="GE55" s="381"/>
      <c r="GL55" s="783"/>
      <c r="GN55" s="381"/>
      <c r="GU55" s="783"/>
      <c r="GW55" s="381"/>
      <c r="HD55" s="783"/>
      <c r="HF55" s="381"/>
      <c r="HM55" s="783"/>
      <c r="HO55" s="381"/>
      <c r="HV55" s="783"/>
      <c r="HX55" s="381"/>
      <c r="IE55" s="783"/>
      <c r="IG55" s="381"/>
      <c r="IN55" s="783"/>
      <c r="IP55" s="381"/>
    </row>
    <row r="56" spans="1:6" ht="15" customHeight="1">
      <c r="A56" s="1834" t="s">
        <v>171</v>
      </c>
      <c r="B56" s="1923" t="s">
        <v>212</v>
      </c>
      <c r="C56" s="1839"/>
      <c r="D56" s="1840"/>
      <c r="E56" s="1911"/>
      <c r="F56" s="1919"/>
    </row>
    <row r="57" spans="1:6" ht="15" customHeight="1">
      <c r="A57" s="1834"/>
      <c r="B57" s="1905" t="s">
        <v>637</v>
      </c>
      <c r="C57" s="1912">
        <v>290</v>
      </c>
      <c r="D57" s="1843">
        <v>290</v>
      </c>
      <c r="E57" s="1906">
        <v>289</v>
      </c>
      <c r="F57" s="1844">
        <f>E57/D57*100</f>
        <v>99.6551724137931</v>
      </c>
    </row>
    <row r="58" spans="1:6" ht="15" customHeight="1">
      <c r="A58" s="1834" t="s">
        <v>529</v>
      </c>
      <c r="B58" s="1923" t="s">
        <v>1003</v>
      </c>
      <c r="C58" s="1859">
        <v>290</v>
      </c>
      <c r="D58" s="1840">
        <f>SUM(D57)</f>
        <v>290</v>
      </c>
      <c r="E58" s="1911">
        <f>SUM(E57)</f>
        <v>289</v>
      </c>
      <c r="F58" s="1838">
        <f>E58/D58*100</f>
        <v>99.6551724137931</v>
      </c>
    </row>
    <row r="59" spans="1:6" ht="9.75" customHeight="1">
      <c r="A59" s="1834"/>
      <c r="B59" s="1932"/>
      <c r="C59" s="1859"/>
      <c r="D59" s="1857"/>
      <c r="E59" s="1925"/>
      <c r="F59" s="1926"/>
    </row>
    <row r="60" spans="1:6" ht="15" customHeight="1">
      <c r="A60" s="1834" t="s">
        <v>1125</v>
      </c>
      <c r="B60" s="1923" t="s">
        <v>1021</v>
      </c>
      <c r="C60" s="1859">
        <v>0</v>
      </c>
      <c r="D60" s="1840">
        <v>0</v>
      </c>
      <c r="E60" s="1911">
        <v>0</v>
      </c>
      <c r="F60" s="1841">
        <v>0</v>
      </c>
    </row>
    <row r="61" spans="1:6" ht="9.75" customHeight="1">
      <c r="A61" s="1834"/>
      <c r="B61" s="1923"/>
      <c r="C61" s="1859"/>
      <c r="D61" s="1857"/>
      <c r="E61" s="1925"/>
      <c r="F61" s="1841"/>
    </row>
    <row r="62" spans="1:6" ht="15" customHeight="1">
      <c r="A62" s="1834" t="s">
        <v>1109</v>
      </c>
      <c r="B62" s="1923" t="s">
        <v>630</v>
      </c>
      <c r="C62" s="1859"/>
      <c r="D62" s="1857"/>
      <c r="E62" s="1925"/>
      <c r="F62" s="1926"/>
    </row>
    <row r="63" spans="1:6" ht="15" customHeight="1">
      <c r="A63" s="1834"/>
      <c r="B63" s="1905" t="s">
        <v>637</v>
      </c>
      <c r="C63" s="1856">
        <v>390</v>
      </c>
      <c r="D63" s="1857">
        <v>390</v>
      </c>
      <c r="E63" s="1925">
        <v>385</v>
      </c>
      <c r="F63" s="1844">
        <f>E63/D63*100</f>
        <v>98.71794871794873</v>
      </c>
    </row>
    <row r="64" spans="1:6" ht="15" customHeight="1">
      <c r="A64" s="1834" t="s">
        <v>307</v>
      </c>
      <c r="B64" s="1923" t="s">
        <v>1004</v>
      </c>
      <c r="C64" s="1839">
        <v>390</v>
      </c>
      <c r="D64" s="1840">
        <f>SUM(D63)</f>
        <v>390</v>
      </c>
      <c r="E64" s="1911">
        <f>SUM(E63)</f>
        <v>385</v>
      </c>
      <c r="F64" s="1838">
        <f>E64/D64*100</f>
        <v>98.71794871794873</v>
      </c>
    </row>
    <row r="65" spans="1:6" ht="15" customHeight="1" thickBot="1">
      <c r="A65" s="1870"/>
      <c r="B65" s="1836"/>
      <c r="C65" s="1859"/>
      <c r="D65" s="1837"/>
      <c r="E65" s="1908"/>
      <c r="F65" s="1927"/>
    </row>
    <row r="66" spans="1:6" ht="21.75" customHeight="1" thickBot="1">
      <c r="A66" s="1886" t="s">
        <v>156</v>
      </c>
      <c r="B66" s="1933" t="s">
        <v>631</v>
      </c>
      <c r="C66" s="1873">
        <f>C56+C58+C60+C62+C64</f>
        <v>680</v>
      </c>
      <c r="D66" s="1874">
        <f>D56+D58+D60+D62+D64</f>
        <v>680</v>
      </c>
      <c r="E66" s="1874">
        <f>E56+E58+E60+E62+E64</f>
        <v>674</v>
      </c>
      <c r="F66" s="1934">
        <f>E66/D66*100</f>
        <v>99.11764705882354</v>
      </c>
    </row>
    <row r="67" spans="1:6" ht="9.75" customHeight="1">
      <c r="A67" s="1860"/>
      <c r="B67" s="1907"/>
      <c r="C67" s="1876"/>
      <c r="D67" s="1877"/>
      <c r="E67" s="1877"/>
      <c r="F67" s="1935"/>
    </row>
    <row r="68" spans="1:6" ht="21.75" customHeight="1" thickBot="1">
      <c r="A68" s="1860" t="s">
        <v>171</v>
      </c>
      <c r="B68" s="1905" t="s">
        <v>1230</v>
      </c>
      <c r="C68" s="1876"/>
      <c r="D68" s="1843">
        <v>53975</v>
      </c>
      <c r="E68" s="1936">
        <v>54466</v>
      </c>
      <c r="F68" s="1935">
        <f>E68/D68*100</f>
        <v>100.90968040759611</v>
      </c>
    </row>
    <row r="69" spans="1:6" ht="20.25" customHeight="1" thickBot="1">
      <c r="A69" s="1886" t="s">
        <v>157</v>
      </c>
      <c r="B69" s="1937" t="s">
        <v>632</v>
      </c>
      <c r="C69" s="1873"/>
      <c r="D69" s="1874">
        <f>SUM(D68)</f>
        <v>53975</v>
      </c>
      <c r="E69" s="1938">
        <f>SUM(E68)</f>
        <v>54466</v>
      </c>
      <c r="F69" s="1875">
        <f>E69/D69*100</f>
        <v>100.90968040759611</v>
      </c>
    </row>
    <row r="70" spans="1:6" ht="9.75" customHeight="1" thickBot="1">
      <c r="A70" s="1834"/>
      <c r="B70" s="1923"/>
      <c r="C70" s="1876"/>
      <c r="D70" s="1939"/>
      <c r="E70" s="1931"/>
      <c r="F70" s="1885"/>
    </row>
    <row r="71" spans="1:6" ht="24.75" customHeight="1" thickBot="1">
      <c r="A71" s="1881" t="s">
        <v>5</v>
      </c>
      <c r="B71" s="1882" t="s">
        <v>633</v>
      </c>
      <c r="C71" s="1882">
        <f>C26+C53+C66+C69</f>
        <v>14530</v>
      </c>
      <c r="D71" s="1883">
        <f>D26+D53+D66+D69</f>
        <v>93912</v>
      </c>
      <c r="E71" s="1940">
        <f>E26+E53+E66+E69</f>
        <v>75296</v>
      </c>
      <c r="F71" s="1917">
        <f aca="true" t="shared" si="0" ref="F71:F81">E71/D71*100</f>
        <v>80.17718715393134</v>
      </c>
    </row>
    <row r="72" spans="1:6" ht="15" customHeight="1">
      <c r="A72" s="1834"/>
      <c r="B72" s="1941" t="s">
        <v>395</v>
      </c>
      <c r="C72" s="1876"/>
      <c r="D72" s="1843">
        <v>7352</v>
      </c>
      <c r="E72" s="1906">
        <v>3574</v>
      </c>
      <c r="F72" s="1844">
        <f t="shared" si="0"/>
        <v>48.61262241566921</v>
      </c>
    </row>
    <row r="73" spans="1:6" ht="15" customHeight="1">
      <c r="A73" s="1834"/>
      <c r="B73" s="1905" t="s">
        <v>639</v>
      </c>
      <c r="C73" s="1876"/>
      <c r="D73" s="1843">
        <v>588</v>
      </c>
      <c r="E73" s="1906">
        <v>443</v>
      </c>
      <c r="F73" s="1844">
        <f t="shared" si="0"/>
        <v>75.34013605442176</v>
      </c>
    </row>
    <row r="74" spans="1:6" ht="15" customHeight="1">
      <c r="A74" s="1834"/>
      <c r="B74" s="1941" t="s">
        <v>640</v>
      </c>
      <c r="C74" s="1876"/>
      <c r="D74" s="1843">
        <v>3839</v>
      </c>
      <c r="E74" s="1906">
        <v>3839</v>
      </c>
      <c r="F74" s="1844">
        <f t="shared" si="0"/>
        <v>100</v>
      </c>
    </row>
    <row r="75" spans="1:6" ht="15" customHeight="1">
      <c r="A75" s="1834"/>
      <c r="B75" s="1941" t="s">
        <v>638</v>
      </c>
      <c r="C75" s="1876"/>
      <c r="D75" s="1843">
        <f>2645+811+515+170</f>
        <v>4141</v>
      </c>
      <c r="E75" s="1906">
        <f>2843+161</f>
        <v>3004</v>
      </c>
      <c r="F75" s="1844">
        <f t="shared" si="0"/>
        <v>72.5428640425018</v>
      </c>
    </row>
    <row r="76" spans="1:6" ht="15" customHeight="1">
      <c r="A76" s="1834"/>
      <c r="B76" s="1941" t="s">
        <v>1231</v>
      </c>
      <c r="C76" s="1876"/>
      <c r="D76" s="1843">
        <f>2273-811</f>
        <v>1462</v>
      </c>
      <c r="E76" s="1906">
        <v>1188</v>
      </c>
      <c r="F76" s="1844">
        <f t="shared" si="0"/>
        <v>81.25854993160054</v>
      </c>
    </row>
    <row r="77" spans="1:6" ht="15" customHeight="1">
      <c r="A77" s="1834"/>
      <c r="B77" s="1941" t="s">
        <v>1232</v>
      </c>
      <c r="C77" s="1876"/>
      <c r="D77" s="1843">
        <v>2200</v>
      </c>
      <c r="E77" s="1906"/>
      <c r="F77" s="1844">
        <f t="shared" si="0"/>
        <v>0</v>
      </c>
    </row>
    <row r="78" spans="1:6" ht="15" customHeight="1" thickBot="1">
      <c r="A78" s="1834"/>
      <c r="B78" s="1941" t="s">
        <v>1233</v>
      </c>
      <c r="C78" s="1876"/>
      <c r="D78" s="1843">
        <v>2595</v>
      </c>
      <c r="E78" s="1906"/>
      <c r="F78" s="1844">
        <f>E78/D78*100</f>
        <v>0</v>
      </c>
    </row>
    <row r="79" spans="1:6" ht="18" customHeight="1" thickBot="1">
      <c r="A79" s="1879" t="s">
        <v>541</v>
      </c>
      <c r="B79" s="1937" t="s">
        <v>339</v>
      </c>
      <c r="C79" s="1873">
        <v>0</v>
      </c>
      <c r="D79" s="1849">
        <f>SUM(D72:D78)</f>
        <v>22177</v>
      </c>
      <c r="E79" s="1849">
        <f>SUM(E72:E78)</f>
        <v>12048</v>
      </c>
      <c r="F79" s="1850">
        <f t="shared" si="0"/>
        <v>54.326554538485816</v>
      </c>
    </row>
    <row r="80" spans="1:6" ht="15" customHeight="1" thickBot="1">
      <c r="A80" s="1834"/>
      <c r="B80" s="1923"/>
      <c r="C80" s="1876"/>
      <c r="D80" s="1877"/>
      <c r="E80" s="1931"/>
      <c r="F80" s="1885"/>
    </row>
    <row r="81" spans="1:9" ht="37.5" customHeight="1" thickBot="1">
      <c r="A81" s="1886"/>
      <c r="B81" s="1888" t="s">
        <v>634</v>
      </c>
      <c r="C81" s="1888">
        <f>'15_ Önk+PH_beruh '!C208+'15_ Önk+PH_beruh '!C238+C71+C79</f>
        <v>1776056</v>
      </c>
      <c r="D81" s="1889">
        <f>'15_ Önk+PH_beruh '!D208+'15_ Önk+PH_beruh '!D238+D71+D79</f>
        <v>3389078.535</v>
      </c>
      <c r="E81" s="2125">
        <f>'15_ Önk+PH_beruh '!E208+'15_ Önk+PH_beruh '!E238+E71+E79</f>
        <v>2083653.0969999996</v>
      </c>
      <c r="F81" s="1917">
        <f t="shared" si="0"/>
        <v>61.481404915274396</v>
      </c>
      <c r="G81" s="8"/>
      <c r="H81" s="8"/>
      <c r="I81" s="8"/>
    </row>
    <row r="82" ht="12.75">
      <c r="F82" s="8"/>
    </row>
    <row r="83" spans="3:5" ht="12.75">
      <c r="C83" s="8"/>
      <c r="D83" s="8"/>
      <c r="E83" s="8"/>
    </row>
  </sheetData>
  <sheetProtection/>
  <mergeCells count="1">
    <mergeCell ref="A3:F3"/>
  </mergeCells>
  <printOptions horizontalCentered="1" verticalCentered="1"/>
  <pageMargins left="0.1968503937007874" right="0" top="0.2362204724409449" bottom="0.31496062992125984" header="0.11811023622047245" footer="0.11811023622047245"/>
  <pageSetup horizontalDpi="300" verticalDpi="300" orientation="portrait" paperSize="9" scale="70" r:id="rId1"/>
  <headerFooter alignWithMargins="0">
    <oddFooter>&amp;C15. tábla &amp;P+3.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75390625" style="838" customWidth="1"/>
    <col min="2" max="2" width="55.75390625" style="838" customWidth="1"/>
    <col min="3" max="3" width="0" style="838" hidden="1" customWidth="1"/>
    <col min="4" max="4" width="9.875" style="838" customWidth="1"/>
    <col min="5" max="5" width="10.75390625" style="838" customWidth="1"/>
    <col min="6" max="6" width="11.00390625" style="838" customWidth="1"/>
    <col min="7" max="7" width="10.875" style="838" customWidth="1"/>
    <col min="8" max="8" width="9.125" style="838" hidden="1" customWidth="1"/>
    <col min="9" max="16384" width="9.125" style="838" customWidth="1"/>
  </cols>
  <sheetData>
    <row r="1" ht="12.75">
      <c r="G1" s="7"/>
    </row>
    <row r="2" ht="12.75">
      <c r="G2" s="543" t="s">
        <v>1281</v>
      </c>
    </row>
    <row r="3" ht="12.75">
      <c r="G3" s="544" t="s">
        <v>71</v>
      </c>
    </row>
    <row r="4" ht="12.75" hidden="1">
      <c r="G4" s="159" t="s">
        <v>95</v>
      </c>
    </row>
    <row r="5" ht="12.75">
      <c r="G5" s="35"/>
    </row>
    <row r="6" spans="1:7" ht="12.75">
      <c r="A6" s="2315" t="s">
        <v>1018</v>
      </c>
      <c r="B6" s="2315"/>
      <c r="C6" s="2315"/>
      <c r="D6" s="2315"/>
      <c r="E6" s="2315"/>
      <c r="F6" s="2315"/>
      <c r="G6" s="2315"/>
    </row>
    <row r="7" spans="1:7" ht="12.75">
      <c r="A7" s="2315" t="s">
        <v>808</v>
      </c>
      <c r="B7" s="2315"/>
      <c r="C7" s="2315"/>
      <c r="D7" s="2315"/>
      <c r="E7" s="2315"/>
      <c r="F7" s="2315"/>
      <c r="G7" s="2315"/>
    </row>
    <row r="8" spans="1:7" ht="12.75">
      <c r="A8" s="2316" t="s">
        <v>72</v>
      </c>
      <c r="B8" s="2316"/>
      <c r="C8" s="2316"/>
      <c r="D8" s="2316"/>
      <c r="E8" s="2316"/>
      <c r="F8" s="2316"/>
      <c r="G8" s="2316"/>
    </row>
    <row r="10" ht="13.5" thickBot="1"/>
    <row r="11" spans="1:7" ht="13.5" thickBot="1">
      <c r="A11" s="2313" t="s">
        <v>978</v>
      </c>
      <c r="B11" s="2314" t="s">
        <v>173</v>
      </c>
      <c r="C11" s="834" t="s">
        <v>979</v>
      </c>
      <c r="D11" s="835" t="s">
        <v>809</v>
      </c>
      <c r="E11" s="836"/>
      <c r="F11" s="836"/>
      <c r="G11" s="837" t="s">
        <v>809</v>
      </c>
    </row>
    <row r="12" spans="1:7" ht="13.5" thickBot="1">
      <c r="A12" s="2313"/>
      <c r="B12" s="2314"/>
      <c r="C12" s="839" t="s">
        <v>50</v>
      </c>
      <c r="D12" s="840" t="s">
        <v>50</v>
      </c>
      <c r="E12" s="841" t="s">
        <v>980</v>
      </c>
      <c r="F12" s="841" t="s">
        <v>982</v>
      </c>
      <c r="G12" s="842" t="s">
        <v>490</v>
      </c>
    </row>
    <row r="13" spans="1:7" ht="12.75">
      <c r="A13" s="2313"/>
      <c r="B13" s="2314"/>
      <c r="C13" s="843" t="s">
        <v>4</v>
      </c>
      <c r="D13" s="844" t="s">
        <v>4</v>
      </c>
      <c r="E13" s="845"/>
      <c r="F13" s="845"/>
      <c r="G13" s="846" t="s">
        <v>983</v>
      </c>
    </row>
    <row r="14" spans="1:7" ht="12.75">
      <c r="A14" s="847">
        <v>1</v>
      </c>
      <c r="B14" s="848">
        <v>2</v>
      </c>
      <c r="C14" s="848">
        <v>3</v>
      </c>
      <c r="D14" s="848">
        <v>3</v>
      </c>
      <c r="E14" s="849"/>
      <c r="F14" s="849"/>
      <c r="G14" s="1997">
        <v>4</v>
      </c>
    </row>
    <row r="15" spans="1:7" ht="12.75">
      <c r="A15" s="850"/>
      <c r="B15" s="851"/>
      <c r="C15" s="851"/>
      <c r="D15" s="851"/>
      <c r="E15" s="852"/>
      <c r="F15" s="852"/>
      <c r="G15" s="853"/>
    </row>
    <row r="16" spans="1:7" ht="12.75">
      <c r="A16" s="850" t="s">
        <v>174</v>
      </c>
      <c r="B16" s="851" t="s">
        <v>175</v>
      </c>
      <c r="C16" s="851"/>
      <c r="D16" s="851"/>
      <c r="E16" s="852"/>
      <c r="F16" s="852"/>
      <c r="G16" s="853"/>
    </row>
    <row r="17" spans="1:7" ht="12.75">
      <c r="A17" s="850"/>
      <c r="B17" s="851"/>
      <c r="C17" s="851"/>
      <c r="D17" s="851"/>
      <c r="E17" s="852"/>
      <c r="F17" s="852"/>
      <c r="G17" s="853"/>
    </row>
    <row r="18" spans="1:7" ht="12.75">
      <c r="A18" s="850"/>
      <c r="B18" s="851"/>
      <c r="C18" s="851"/>
      <c r="D18" s="851"/>
      <c r="E18" s="852"/>
      <c r="F18" s="852"/>
      <c r="G18" s="853"/>
    </row>
    <row r="19" spans="1:7" ht="12.75">
      <c r="A19" s="850">
        <v>1</v>
      </c>
      <c r="B19" s="851" t="s">
        <v>1121</v>
      </c>
      <c r="C19" s="854">
        <v>5000</v>
      </c>
      <c r="D19" s="854">
        <v>5000</v>
      </c>
      <c r="E19" s="855"/>
      <c r="F19" s="855">
        <v>5000</v>
      </c>
      <c r="G19" s="856">
        <f aca="true" t="shared" si="0" ref="G19:G27">D19+E19-F19</f>
        <v>0</v>
      </c>
    </row>
    <row r="20" spans="1:7" ht="12.75">
      <c r="A20" s="850">
        <v>2</v>
      </c>
      <c r="B20" s="851" t="s">
        <v>90</v>
      </c>
      <c r="C20" s="854">
        <v>3000</v>
      </c>
      <c r="D20" s="854">
        <v>3000</v>
      </c>
      <c r="E20" s="855"/>
      <c r="F20" s="855">
        <v>2820</v>
      </c>
      <c r="G20" s="856">
        <f t="shared" si="0"/>
        <v>180</v>
      </c>
    </row>
    <row r="21" spans="1:7" ht="12.75">
      <c r="A21" s="850">
        <v>3</v>
      </c>
      <c r="B21" s="857" t="s">
        <v>1117</v>
      </c>
      <c r="C21" s="858">
        <v>5000</v>
      </c>
      <c r="D21" s="858">
        <v>5000</v>
      </c>
      <c r="E21" s="859"/>
      <c r="F21" s="859">
        <v>5000</v>
      </c>
      <c r="G21" s="856">
        <f t="shared" si="0"/>
        <v>0</v>
      </c>
    </row>
    <row r="22" spans="1:7" ht="12.75">
      <c r="A22" s="850">
        <v>4</v>
      </c>
      <c r="B22" s="860" t="s">
        <v>292</v>
      </c>
      <c r="C22" s="858">
        <v>40000</v>
      </c>
      <c r="D22" s="858">
        <v>43000</v>
      </c>
      <c r="E22" s="859"/>
      <c r="F22" s="859">
        <v>20108</v>
      </c>
      <c r="G22" s="856">
        <f t="shared" si="0"/>
        <v>22892</v>
      </c>
    </row>
    <row r="23" spans="1:7" ht="12.75">
      <c r="A23" s="850">
        <v>5</v>
      </c>
      <c r="B23" s="851" t="s">
        <v>26</v>
      </c>
      <c r="C23" s="854">
        <v>2000</v>
      </c>
      <c r="D23" s="854">
        <v>2000</v>
      </c>
      <c r="E23" s="855"/>
      <c r="F23" s="855">
        <v>1905</v>
      </c>
      <c r="G23" s="856">
        <f t="shared" si="0"/>
        <v>95</v>
      </c>
    </row>
    <row r="24" spans="1:7" ht="12.75">
      <c r="A24" s="850">
        <v>6</v>
      </c>
      <c r="B24" s="857" t="s">
        <v>493</v>
      </c>
      <c r="C24" s="858">
        <v>27000</v>
      </c>
      <c r="D24" s="858">
        <v>20000</v>
      </c>
      <c r="E24" s="859">
        <v>7685</v>
      </c>
      <c r="F24" s="859">
        <f>2151+2649+2602</f>
        <v>7402</v>
      </c>
      <c r="G24" s="856">
        <f t="shared" si="0"/>
        <v>20283</v>
      </c>
    </row>
    <row r="25" spans="1:7" ht="12.75">
      <c r="A25" s="850">
        <v>7</v>
      </c>
      <c r="B25" s="857" t="s">
        <v>27</v>
      </c>
      <c r="C25" s="858">
        <v>20000</v>
      </c>
      <c r="D25" s="858">
        <v>30000</v>
      </c>
      <c r="E25" s="859"/>
      <c r="F25" s="859">
        <v>30000</v>
      </c>
      <c r="G25" s="856">
        <f t="shared" si="0"/>
        <v>0</v>
      </c>
    </row>
    <row r="26" spans="1:7" ht="12.75">
      <c r="A26" s="850">
        <v>8</v>
      </c>
      <c r="B26" s="861" t="s">
        <v>740</v>
      </c>
      <c r="C26" s="858"/>
      <c r="D26" s="858">
        <v>25000</v>
      </c>
      <c r="E26" s="859"/>
      <c r="F26" s="859"/>
      <c r="G26" s="856">
        <f t="shared" si="0"/>
        <v>25000</v>
      </c>
    </row>
    <row r="27" spans="1:7" ht="12.75">
      <c r="A27" s="850">
        <v>9</v>
      </c>
      <c r="B27" s="861" t="s">
        <v>262</v>
      </c>
      <c r="C27" s="858"/>
      <c r="D27" s="858">
        <v>0</v>
      </c>
      <c r="E27" s="859">
        <v>36397.33</v>
      </c>
      <c r="F27" s="859"/>
      <c r="G27" s="856">
        <f t="shared" si="0"/>
        <v>36397.33</v>
      </c>
    </row>
    <row r="28" spans="1:7" ht="12.75">
      <c r="A28" s="850"/>
      <c r="B28" s="857"/>
      <c r="C28" s="858"/>
      <c r="D28" s="858"/>
      <c r="E28" s="859"/>
      <c r="F28" s="859"/>
      <c r="G28" s="853"/>
    </row>
    <row r="29" spans="1:8" ht="13.5">
      <c r="A29" s="862" t="s">
        <v>174</v>
      </c>
      <c r="B29" s="863" t="s">
        <v>170</v>
      </c>
      <c r="C29" s="864">
        <f>SUM(C19:C25)</f>
        <v>102000</v>
      </c>
      <c r="D29" s="864">
        <f>SUM(D19:D28)</f>
        <v>133000</v>
      </c>
      <c r="E29" s="865">
        <f>SUM(E19:E28)</f>
        <v>44082.33</v>
      </c>
      <c r="F29" s="865">
        <f>SUM(F19:F28)</f>
        <v>72235</v>
      </c>
      <c r="G29" s="866">
        <f>SUM(G19:G28)</f>
        <v>104847.33</v>
      </c>
      <c r="H29" s="2132">
        <f>'4.tábla'!CQ27-G29</f>
        <v>-0.33000000000174623</v>
      </c>
    </row>
    <row r="30" spans="1:7" ht="12.75">
      <c r="A30" s="867"/>
      <c r="B30" s="868"/>
      <c r="C30" s="869"/>
      <c r="D30" s="869"/>
      <c r="E30" s="870"/>
      <c r="F30" s="870"/>
      <c r="G30" s="871"/>
    </row>
    <row r="31" spans="1:7" ht="12.75">
      <c r="A31" s="872" t="s">
        <v>457</v>
      </c>
      <c r="B31" s="851" t="s">
        <v>521</v>
      </c>
      <c r="C31" s="854"/>
      <c r="D31" s="854"/>
      <c r="E31" s="855"/>
      <c r="F31" s="855"/>
      <c r="G31" s="856"/>
    </row>
    <row r="32" spans="1:7" ht="12.75">
      <c r="A32" s="850"/>
      <c r="B32" s="851"/>
      <c r="C32" s="854"/>
      <c r="D32" s="854"/>
      <c r="E32" s="855"/>
      <c r="F32" s="855"/>
      <c r="G32" s="853"/>
    </row>
    <row r="33" spans="1:8" ht="12.75">
      <c r="A33" s="873" t="s">
        <v>171</v>
      </c>
      <c r="B33" s="874" t="s">
        <v>1047</v>
      </c>
      <c r="C33" s="875">
        <f>SUM(C35:C39)</f>
        <v>234535</v>
      </c>
      <c r="D33" s="876">
        <f>SUM(D35:D39)</f>
        <v>264000</v>
      </c>
      <c r="E33" s="875">
        <f>SUM(E35:E39)</f>
        <v>5785</v>
      </c>
      <c r="F33" s="875">
        <f>SUM(F35:F39)</f>
        <v>166711</v>
      </c>
      <c r="G33" s="877">
        <f>SUM(G35:G39)</f>
        <v>103074</v>
      </c>
      <c r="H33" s="2132">
        <f>'4.tábla'!CQ28-G33</f>
        <v>0</v>
      </c>
    </row>
    <row r="34" spans="1:7" ht="12.75">
      <c r="A34" s="850"/>
      <c r="B34" s="851"/>
      <c r="C34" s="854"/>
      <c r="D34" s="854"/>
      <c r="E34" s="855"/>
      <c r="F34" s="855"/>
      <c r="G34" s="853"/>
    </row>
    <row r="35" spans="1:7" ht="12.75">
      <c r="A35" s="850">
        <v>1</v>
      </c>
      <c r="B35" s="860" t="s">
        <v>461</v>
      </c>
      <c r="C35" s="878">
        <v>15805</v>
      </c>
      <c r="D35" s="878">
        <v>9500</v>
      </c>
      <c r="E35" s="879"/>
      <c r="F35" s="879">
        <v>8500</v>
      </c>
      <c r="G35" s="856">
        <f>D35+E35-F35</f>
        <v>1000</v>
      </c>
    </row>
    <row r="36" spans="1:7" ht="12.75">
      <c r="A36" s="850">
        <v>2</v>
      </c>
      <c r="B36" s="880" t="s">
        <v>91</v>
      </c>
      <c r="C36" s="858">
        <v>193730</v>
      </c>
      <c r="D36" s="858">
        <v>229500</v>
      </c>
      <c r="E36" s="859"/>
      <c r="F36" s="859">
        <v>133211</v>
      </c>
      <c r="G36" s="856">
        <f>D36+E36-F36</f>
        <v>96289</v>
      </c>
    </row>
    <row r="37" spans="1:7" ht="12.75">
      <c r="A37" s="850">
        <v>3</v>
      </c>
      <c r="B37" s="880" t="s">
        <v>32</v>
      </c>
      <c r="C37" s="858">
        <v>25000</v>
      </c>
      <c r="D37" s="854">
        <v>25000</v>
      </c>
      <c r="E37" s="855"/>
      <c r="F37" s="855">
        <v>25000</v>
      </c>
      <c r="G37" s="856">
        <f>D37+E37-F37</f>
        <v>0</v>
      </c>
    </row>
    <row r="38" spans="1:7" ht="12.75">
      <c r="A38" s="850">
        <v>4</v>
      </c>
      <c r="B38" s="880" t="s">
        <v>204</v>
      </c>
      <c r="C38" s="858"/>
      <c r="D38" s="854">
        <v>0</v>
      </c>
      <c r="E38" s="855">
        <v>2376</v>
      </c>
      <c r="F38" s="855"/>
      <c r="G38" s="856">
        <f>D38+E38-F38</f>
        <v>2376</v>
      </c>
    </row>
    <row r="39" spans="1:7" ht="12.75">
      <c r="A39" s="850">
        <v>5</v>
      </c>
      <c r="B39" s="851" t="s">
        <v>741</v>
      </c>
      <c r="C39" s="854">
        <v>0</v>
      </c>
      <c r="D39" s="854"/>
      <c r="E39" s="855">
        <v>3409</v>
      </c>
      <c r="F39" s="855"/>
      <c r="G39" s="856">
        <f>D39+E39-F39</f>
        <v>3409</v>
      </c>
    </row>
    <row r="40" spans="1:7" ht="12.75">
      <c r="A40" s="850"/>
      <c r="B40" s="880"/>
      <c r="C40" s="881"/>
      <c r="D40" s="881"/>
      <c r="E40" s="882"/>
      <c r="F40" s="882"/>
      <c r="G40" s="883"/>
    </row>
    <row r="41" spans="1:8" ht="12.75">
      <c r="A41" s="884" t="s">
        <v>529</v>
      </c>
      <c r="B41" s="874" t="s">
        <v>179</v>
      </c>
      <c r="C41" s="875">
        <f>SUM(C43:C64)</f>
        <v>737099</v>
      </c>
      <c r="D41" s="876">
        <f>SUM(D43:D64)</f>
        <v>1350175</v>
      </c>
      <c r="E41" s="875">
        <f>SUM(E43:E64)</f>
        <v>1164612</v>
      </c>
      <c r="F41" s="875">
        <f>SUM(F43:F64)</f>
        <v>950292</v>
      </c>
      <c r="G41" s="877">
        <f>SUM(G43:G64)</f>
        <v>1564495</v>
      </c>
      <c r="H41" s="2132">
        <f>'4.tábla'!CQ29-G41</f>
        <v>0</v>
      </c>
    </row>
    <row r="42" spans="1:7" ht="12.75">
      <c r="A42" s="885"/>
      <c r="B42" s="886"/>
      <c r="C42" s="875"/>
      <c r="D42" s="875"/>
      <c r="E42" s="887"/>
      <c r="F42" s="887"/>
      <c r="G42" s="888"/>
    </row>
    <row r="43" spans="1:7" ht="12.75">
      <c r="A43" s="872">
        <v>1</v>
      </c>
      <c r="B43" s="851" t="s">
        <v>524</v>
      </c>
      <c r="C43" s="854">
        <v>15000</v>
      </c>
      <c r="D43" s="854">
        <v>20000</v>
      </c>
      <c r="E43" s="855"/>
      <c r="F43" s="855">
        <v>12416</v>
      </c>
      <c r="G43" s="856">
        <f aca="true" t="shared" si="1" ref="G43:G62">D43+E43-F43</f>
        <v>7584</v>
      </c>
    </row>
    <row r="44" spans="1:7" ht="12.75">
      <c r="A44" s="872">
        <v>2</v>
      </c>
      <c r="B44" s="889" t="s">
        <v>293</v>
      </c>
      <c r="C44" s="854">
        <v>150000</v>
      </c>
      <c r="D44" s="854">
        <v>30000</v>
      </c>
      <c r="E44" s="855">
        <v>40000</v>
      </c>
      <c r="F44" s="855">
        <v>30000</v>
      </c>
      <c r="G44" s="856">
        <f t="shared" si="1"/>
        <v>40000</v>
      </c>
    </row>
    <row r="45" spans="1:7" ht="12.75">
      <c r="A45" s="872">
        <v>3</v>
      </c>
      <c r="B45" s="860" t="s">
        <v>296</v>
      </c>
      <c r="C45" s="854">
        <v>10000</v>
      </c>
      <c r="D45" s="854">
        <v>1000</v>
      </c>
      <c r="E45" s="855"/>
      <c r="F45" s="855"/>
      <c r="G45" s="856">
        <f t="shared" si="1"/>
        <v>1000</v>
      </c>
    </row>
    <row r="46" spans="1:7" ht="12.75">
      <c r="A46" s="872">
        <v>4</v>
      </c>
      <c r="B46" s="860" t="s">
        <v>263</v>
      </c>
      <c r="C46" s="854">
        <v>50000</v>
      </c>
      <c r="D46" s="854">
        <v>15000</v>
      </c>
      <c r="E46" s="855"/>
      <c r="F46" s="855">
        <v>4208</v>
      </c>
      <c r="G46" s="856">
        <f t="shared" si="1"/>
        <v>10792</v>
      </c>
    </row>
    <row r="47" spans="1:7" ht="12.75">
      <c r="A47" s="872">
        <v>5</v>
      </c>
      <c r="B47" s="890" t="s">
        <v>92</v>
      </c>
      <c r="C47" s="854">
        <v>257599</v>
      </c>
      <c r="D47" s="854">
        <v>485000</v>
      </c>
      <c r="E47" s="855">
        <v>3540</v>
      </c>
      <c r="F47" s="855">
        <v>473842</v>
      </c>
      <c r="G47" s="856">
        <f t="shared" si="1"/>
        <v>14698</v>
      </c>
    </row>
    <row r="48" spans="1:7" ht="12.75">
      <c r="A48" s="872">
        <v>6</v>
      </c>
      <c r="B48" s="891" t="s">
        <v>298</v>
      </c>
      <c r="C48" s="854">
        <v>27000</v>
      </c>
      <c r="D48" s="854">
        <v>21550</v>
      </c>
      <c r="E48" s="855">
        <v>10000</v>
      </c>
      <c r="F48" s="855">
        <f>20870+9999</f>
        <v>30869</v>
      </c>
      <c r="G48" s="856">
        <f t="shared" si="1"/>
        <v>681</v>
      </c>
    </row>
    <row r="49" spans="1:7" ht="12.75">
      <c r="A49" s="872">
        <v>7</v>
      </c>
      <c r="B49" s="857" t="s">
        <v>93</v>
      </c>
      <c r="C49" s="854"/>
      <c r="D49" s="854">
        <v>15000</v>
      </c>
      <c r="E49" s="855"/>
      <c r="F49" s="855">
        <v>15000</v>
      </c>
      <c r="G49" s="856">
        <f t="shared" si="1"/>
        <v>0</v>
      </c>
    </row>
    <row r="50" spans="1:7" ht="12.75">
      <c r="A50" s="872">
        <v>8</v>
      </c>
      <c r="B50" s="890" t="s">
        <v>297</v>
      </c>
      <c r="C50" s="854"/>
      <c r="D50" s="854">
        <v>10000</v>
      </c>
      <c r="E50" s="855"/>
      <c r="F50" s="855"/>
      <c r="G50" s="856">
        <f t="shared" si="1"/>
        <v>10000</v>
      </c>
    </row>
    <row r="51" spans="1:7" ht="12.75">
      <c r="A51" s="872">
        <v>9</v>
      </c>
      <c r="B51" s="890" t="s">
        <v>410</v>
      </c>
      <c r="C51" s="854"/>
      <c r="D51" s="854">
        <v>2625</v>
      </c>
      <c r="E51" s="855">
        <v>51870</v>
      </c>
      <c r="F51" s="855"/>
      <c r="G51" s="856">
        <f t="shared" si="1"/>
        <v>54495</v>
      </c>
    </row>
    <row r="52" spans="1:7" ht="12.75">
      <c r="A52" s="872">
        <v>10</v>
      </c>
      <c r="B52" s="857" t="s">
        <v>742</v>
      </c>
      <c r="C52" s="854"/>
      <c r="D52" s="854">
        <v>750000</v>
      </c>
      <c r="E52" s="855">
        <v>81556</v>
      </c>
      <c r="F52" s="855">
        <v>139051</v>
      </c>
      <c r="G52" s="856">
        <f t="shared" si="1"/>
        <v>692505</v>
      </c>
    </row>
    <row r="53" spans="1:7" ht="12.75">
      <c r="A53" s="872">
        <v>11</v>
      </c>
      <c r="B53" s="890" t="s">
        <v>205</v>
      </c>
      <c r="C53" s="854">
        <v>5500</v>
      </c>
      <c r="D53" s="854">
        <v>0</v>
      </c>
      <c r="E53" s="855">
        <v>4663</v>
      </c>
      <c r="F53" s="855"/>
      <c r="G53" s="856">
        <f t="shared" si="1"/>
        <v>4663</v>
      </c>
    </row>
    <row r="54" spans="1:7" ht="12.75">
      <c r="A54" s="872">
        <v>12</v>
      </c>
      <c r="B54" s="860" t="s">
        <v>1118</v>
      </c>
      <c r="C54" s="854">
        <v>2000</v>
      </c>
      <c r="D54" s="854">
        <v>0</v>
      </c>
      <c r="E54" s="855">
        <v>7983</v>
      </c>
      <c r="F54" s="855"/>
      <c r="G54" s="856">
        <f t="shared" si="1"/>
        <v>7983</v>
      </c>
    </row>
    <row r="55" spans="1:7" ht="12.75">
      <c r="A55" s="872">
        <v>13</v>
      </c>
      <c r="B55" s="860" t="s">
        <v>743</v>
      </c>
      <c r="C55" s="854">
        <v>200000</v>
      </c>
      <c r="D55" s="854">
        <v>0</v>
      </c>
      <c r="E55" s="855">
        <v>200000</v>
      </c>
      <c r="F55" s="855"/>
      <c r="G55" s="856">
        <f t="shared" si="1"/>
        <v>200000</v>
      </c>
    </row>
    <row r="56" spans="1:7" ht="12.75">
      <c r="A56" s="872">
        <v>14</v>
      </c>
      <c r="B56" s="860" t="s">
        <v>744</v>
      </c>
      <c r="C56" s="854"/>
      <c r="D56" s="854">
        <v>0</v>
      </c>
      <c r="E56" s="855">
        <v>100000</v>
      </c>
      <c r="F56" s="855">
        <v>100000</v>
      </c>
      <c r="G56" s="856">
        <f t="shared" si="1"/>
        <v>0</v>
      </c>
    </row>
    <row r="57" spans="1:7" ht="12.75">
      <c r="A57" s="872">
        <v>15</v>
      </c>
      <c r="B57" s="860" t="s">
        <v>745</v>
      </c>
      <c r="C57" s="854"/>
      <c r="D57" s="854">
        <v>0</v>
      </c>
      <c r="E57" s="855">
        <v>100000</v>
      </c>
      <c r="F57" s="855">
        <v>100000</v>
      </c>
      <c r="G57" s="856">
        <f t="shared" si="1"/>
        <v>0</v>
      </c>
    </row>
    <row r="58" spans="1:7" ht="12.75">
      <c r="A58" s="872">
        <v>16</v>
      </c>
      <c r="B58" s="860" t="s">
        <v>746</v>
      </c>
      <c r="C58" s="854"/>
      <c r="D58" s="854">
        <v>0</v>
      </c>
      <c r="E58" s="855">
        <v>35000</v>
      </c>
      <c r="F58" s="855">
        <v>35000</v>
      </c>
      <c r="G58" s="856">
        <f t="shared" si="1"/>
        <v>0</v>
      </c>
    </row>
    <row r="59" spans="1:7" ht="12.75">
      <c r="A59" s="872">
        <v>17</v>
      </c>
      <c r="B59" s="860" t="s">
        <v>747</v>
      </c>
      <c r="C59" s="854"/>
      <c r="D59" s="854">
        <v>0</v>
      </c>
      <c r="E59" s="855">
        <v>90000</v>
      </c>
      <c r="F59" s="855"/>
      <c r="G59" s="856">
        <f t="shared" si="1"/>
        <v>90000</v>
      </c>
    </row>
    <row r="60" spans="1:7" ht="12.75">
      <c r="A60" s="872">
        <v>18</v>
      </c>
      <c r="B60" s="860" t="s">
        <v>748</v>
      </c>
      <c r="C60" s="854"/>
      <c r="D60" s="854">
        <v>0</v>
      </c>
      <c r="E60" s="855">
        <v>40000</v>
      </c>
      <c r="F60" s="855"/>
      <c r="G60" s="856">
        <f t="shared" si="1"/>
        <v>40000</v>
      </c>
    </row>
    <row r="61" spans="1:7" ht="12.75">
      <c r="A61" s="872">
        <v>19</v>
      </c>
      <c r="B61" s="860" t="s">
        <v>749</v>
      </c>
      <c r="C61" s="854"/>
      <c r="D61" s="854">
        <v>0</v>
      </c>
      <c r="E61" s="855">
        <v>300000</v>
      </c>
      <c r="F61" s="855"/>
      <c r="G61" s="856">
        <f t="shared" si="1"/>
        <v>300000</v>
      </c>
    </row>
    <row r="62" spans="1:7" ht="12.75">
      <c r="A62" s="872">
        <v>20</v>
      </c>
      <c r="B62" s="860" t="s">
        <v>329</v>
      </c>
      <c r="C62" s="854">
        <v>20000</v>
      </c>
      <c r="D62" s="854">
        <v>0</v>
      </c>
      <c r="E62" s="855">
        <v>100000</v>
      </c>
      <c r="F62" s="855">
        <v>9906</v>
      </c>
      <c r="G62" s="856">
        <f t="shared" si="1"/>
        <v>90094</v>
      </c>
    </row>
    <row r="63" spans="1:7" ht="12.75">
      <c r="A63" s="885"/>
      <c r="B63" s="886"/>
      <c r="C63" s="875"/>
      <c r="D63" s="875"/>
      <c r="E63" s="887"/>
      <c r="F63" s="887"/>
      <c r="G63" s="888"/>
    </row>
    <row r="64" spans="1:7" ht="12.75">
      <c r="A64" s="885"/>
      <c r="B64" s="886"/>
      <c r="C64" s="875"/>
      <c r="D64" s="875"/>
      <c r="E64" s="887"/>
      <c r="F64" s="887"/>
      <c r="G64" s="888"/>
    </row>
    <row r="65" spans="1:7" ht="12.75">
      <c r="A65" s="872"/>
      <c r="B65" s="851"/>
      <c r="C65" s="892"/>
      <c r="D65" s="854"/>
      <c r="E65" s="855"/>
      <c r="F65" s="855"/>
      <c r="G65" s="853"/>
    </row>
    <row r="66" spans="1:7" ht="13.5">
      <c r="A66" s="862" t="s">
        <v>457</v>
      </c>
      <c r="B66" s="863" t="s">
        <v>94</v>
      </c>
      <c r="C66" s="864">
        <f>C33+C41</f>
        <v>971634</v>
      </c>
      <c r="D66" s="864">
        <f>D33+D41</f>
        <v>1614175</v>
      </c>
      <c r="E66" s="865">
        <f>E33+E41</f>
        <v>1170397</v>
      </c>
      <c r="F66" s="865">
        <f>F33+F41</f>
        <v>1117003</v>
      </c>
      <c r="G66" s="866">
        <f>G33+G41</f>
        <v>1667569</v>
      </c>
    </row>
    <row r="67" spans="1:7" ht="12.75">
      <c r="A67" s="893"/>
      <c r="B67" s="894"/>
      <c r="C67" s="892"/>
      <c r="D67" s="892"/>
      <c r="E67" s="895"/>
      <c r="F67" s="895"/>
      <c r="G67" s="896"/>
    </row>
    <row r="68" spans="1:7" ht="15.75" thickBot="1">
      <c r="A68" s="897"/>
      <c r="B68" s="898" t="s">
        <v>484</v>
      </c>
      <c r="C68" s="899">
        <f>SUM(C66+C29)</f>
        <v>1073634</v>
      </c>
      <c r="D68" s="899">
        <f>SUM(D66+D29)</f>
        <v>1747175</v>
      </c>
      <c r="E68" s="900">
        <f>SUM(E66+E29)</f>
        <v>1214479.33</v>
      </c>
      <c r="F68" s="900">
        <f>SUM(F66+F29)</f>
        <v>1189238</v>
      </c>
      <c r="G68" s="901">
        <f>SUM(G66+G29)</f>
        <v>1772416.33</v>
      </c>
    </row>
  </sheetData>
  <sheetProtection/>
  <mergeCells count="5">
    <mergeCell ref="A11:A13"/>
    <mergeCell ref="B11:B13"/>
    <mergeCell ref="A6:G6"/>
    <mergeCell ref="A7:G7"/>
    <mergeCell ref="A8:G8"/>
  </mergeCells>
  <printOptions horizontalCentered="1"/>
  <pageMargins left="0.35433070866141736" right="0.35433070866141736" top="0.5118110236220472" bottom="0.5905511811023623" header="0.31496062992125984" footer="0.2362204724409449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5.75390625" style="86" customWidth="1"/>
    <col min="2" max="2" width="9.75390625" style="86" customWidth="1"/>
    <col min="3" max="3" width="9.125" style="86" customWidth="1"/>
    <col min="4" max="4" width="9.75390625" style="86" customWidth="1"/>
    <col min="5" max="5" width="9.125" style="86" customWidth="1"/>
    <col min="6" max="6" width="26.75390625" style="86" customWidth="1"/>
    <col min="7" max="7" width="9.875" style="86" customWidth="1"/>
    <col min="8" max="8" width="9.25390625" style="86" bestFit="1" customWidth="1"/>
    <col min="9" max="9" width="9.75390625" style="86" customWidth="1"/>
    <col min="10" max="16384" width="9.125" style="86" customWidth="1"/>
  </cols>
  <sheetData>
    <row r="1" spans="1:10" ht="12.75">
      <c r="A1" s="184"/>
      <c r="B1" s="184"/>
      <c r="C1" s="184"/>
      <c r="D1" s="184"/>
      <c r="E1" s="184"/>
      <c r="F1" s="185"/>
      <c r="G1" s="184"/>
      <c r="H1" s="184"/>
      <c r="I1" s="184"/>
      <c r="J1" s="165" t="s">
        <v>1272</v>
      </c>
    </row>
    <row r="2" spans="1:10" ht="12.75">
      <c r="A2" s="184"/>
      <c r="B2" s="184"/>
      <c r="C2" s="184"/>
      <c r="D2" s="184"/>
      <c r="E2" s="184"/>
      <c r="F2" s="185"/>
      <c r="G2" s="184"/>
      <c r="H2" s="184"/>
      <c r="I2" s="184"/>
      <c r="J2" s="165" t="s">
        <v>71</v>
      </c>
    </row>
    <row r="3" spans="1:10" ht="12.75">
      <c r="A3" s="184"/>
      <c r="B3" s="184"/>
      <c r="C3" s="184"/>
      <c r="D3" s="184"/>
      <c r="E3" s="184"/>
      <c r="F3" s="185"/>
      <c r="G3" s="184"/>
      <c r="H3" s="184"/>
      <c r="I3" s="184"/>
      <c r="J3" s="185"/>
    </row>
    <row r="4" spans="1:10" ht="15.75">
      <c r="A4" s="2317" t="s">
        <v>1250</v>
      </c>
      <c r="B4" s="2317"/>
      <c r="C4" s="2317"/>
      <c r="D4" s="2317"/>
      <c r="E4" s="2317"/>
      <c r="F4" s="2317"/>
      <c r="G4" s="2317"/>
      <c r="H4" s="2317"/>
      <c r="I4" s="2317"/>
      <c r="J4" s="2317"/>
    </row>
    <row r="5" spans="1:10" ht="12.75">
      <c r="A5" s="2318" t="s">
        <v>72</v>
      </c>
      <c r="B5" s="2318"/>
      <c r="C5" s="2318"/>
      <c r="D5" s="2318"/>
      <c r="E5" s="2318"/>
      <c r="F5" s="2318"/>
      <c r="G5" s="2318"/>
      <c r="H5" s="2318"/>
      <c r="I5" s="2318"/>
      <c r="J5" s="2318"/>
    </row>
    <row r="6" spans="1:10" ht="13.5" thickBot="1">
      <c r="A6" s="185"/>
      <c r="B6" s="186"/>
      <c r="C6" s="186"/>
      <c r="D6" s="186"/>
      <c r="E6" s="186"/>
      <c r="F6" s="186"/>
      <c r="G6" s="185"/>
      <c r="H6" s="185"/>
      <c r="I6" s="185"/>
      <c r="J6" s="185"/>
    </row>
    <row r="7" spans="1:10" ht="12.75">
      <c r="A7" s="1175"/>
      <c r="B7" s="1176"/>
      <c r="C7" s="1176"/>
      <c r="D7" s="1176"/>
      <c r="E7" s="1176"/>
      <c r="F7" s="1175"/>
      <c r="G7" s="1176"/>
      <c r="H7" s="1176"/>
      <c r="I7" s="1176"/>
      <c r="J7" s="1177"/>
    </row>
    <row r="8" spans="1:10" ht="12.75">
      <c r="A8" s="1178"/>
      <c r="B8" s="1179"/>
      <c r="C8" s="1179"/>
      <c r="D8" s="1180" t="s">
        <v>499</v>
      </c>
      <c r="E8" s="1179"/>
      <c r="F8" s="1178"/>
      <c r="G8" s="1179"/>
      <c r="H8" s="1179"/>
      <c r="I8" s="1180" t="s">
        <v>499</v>
      </c>
      <c r="J8" s="2165"/>
    </row>
    <row r="9" spans="1:10" ht="12.75">
      <c r="A9" s="1178"/>
      <c r="B9" s="1180" t="s">
        <v>499</v>
      </c>
      <c r="C9" s="1179"/>
      <c r="D9" s="1180" t="s">
        <v>501</v>
      </c>
      <c r="E9" s="1180" t="s">
        <v>500</v>
      </c>
      <c r="F9" s="1183"/>
      <c r="G9" s="1180" t="s">
        <v>499</v>
      </c>
      <c r="H9" s="1179"/>
      <c r="I9" s="1180" t="s">
        <v>501</v>
      </c>
      <c r="J9" s="1182" t="s">
        <v>500</v>
      </c>
    </row>
    <row r="10" spans="1:10" ht="12.75">
      <c r="A10" s="1184" t="s">
        <v>502</v>
      </c>
      <c r="B10" s="1180" t="s">
        <v>501</v>
      </c>
      <c r="C10" s="1179"/>
      <c r="D10" s="1180" t="s">
        <v>503</v>
      </c>
      <c r="E10" s="1180" t="s">
        <v>501</v>
      </c>
      <c r="F10" s="1184" t="s">
        <v>504</v>
      </c>
      <c r="G10" s="1180" t="s">
        <v>501</v>
      </c>
      <c r="H10" s="1179"/>
      <c r="I10" s="1180" t="s">
        <v>503</v>
      </c>
      <c r="J10" s="1182" t="s">
        <v>501</v>
      </c>
    </row>
    <row r="11" spans="1:10" ht="12.75">
      <c r="A11" s="1184"/>
      <c r="B11" s="1180" t="s">
        <v>505</v>
      </c>
      <c r="C11" s="1180" t="s">
        <v>506</v>
      </c>
      <c r="D11" s="1180" t="s">
        <v>507</v>
      </c>
      <c r="E11" s="1180" t="s">
        <v>505</v>
      </c>
      <c r="F11" s="1184"/>
      <c r="G11" s="1180" t="s">
        <v>505</v>
      </c>
      <c r="H11" s="1180" t="s">
        <v>506</v>
      </c>
      <c r="I11" s="1180" t="s">
        <v>507</v>
      </c>
      <c r="J11" s="1182" t="s">
        <v>505</v>
      </c>
    </row>
    <row r="12" spans="1:10" ht="12.75">
      <c r="A12" s="1184"/>
      <c r="B12" s="1180" t="s">
        <v>508</v>
      </c>
      <c r="C12" s="1180" t="s">
        <v>509</v>
      </c>
      <c r="D12" s="1180" t="s">
        <v>510</v>
      </c>
      <c r="E12" s="1180" t="s">
        <v>508</v>
      </c>
      <c r="F12" s="1184"/>
      <c r="G12" s="1180" t="s">
        <v>508</v>
      </c>
      <c r="H12" s="1180" t="s">
        <v>509</v>
      </c>
      <c r="I12" s="1180" t="s">
        <v>510</v>
      </c>
      <c r="J12" s="1182" t="s">
        <v>508</v>
      </c>
    </row>
    <row r="13" spans="1:10" ht="12.75">
      <c r="A13" s="1184"/>
      <c r="B13" s="1180" t="s">
        <v>511</v>
      </c>
      <c r="C13" s="1180" t="s">
        <v>512</v>
      </c>
      <c r="D13" s="1180" t="s">
        <v>511</v>
      </c>
      <c r="E13" s="1180" t="s">
        <v>511</v>
      </c>
      <c r="F13" s="1183"/>
      <c r="G13" s="1180" t="s">
        <v>511</v>
      </c>
      <c r="H13" s="1180" t="s">
        <v>512</v>
      </c>
      <c r="I13" s="1180" t="s">
        <v>511</v>
      </c>
      <c r="J13" s="1182" t="s">
        <v>511</v>
      </c>
    </row>
    <row r="14" spans="1:10" ht="12.75">
      <c r="A14" s="1184"/>
      <c r="B14" s="1180" t="s">
        <v>513</v>
      </c>
      <c r="C14" s="1180" t="s">
        <v>756</v>
      </c>
      <c r="D14" s="1180" t="s">
        <v>513</v>
      </c>
      <c r="E14" s="1180" t="s">
        <v>513</v>
      </c>
      <c r="F14" s="1183"/>
      <c r="G14" s="1180" t="s">
        <v>513</v>
      </c>
      <c r="H14" s="1180" t="s">
        <v>756</v>
      </c>
      <c r="I14" s="1180" t="s">
        <v>513</v>
      </c>
      <c r="J14" s="1182" t="s">
        <v>513</v>
      </c>
    </row>
    <row r="15" spans="1:10" ht="12.75">
      <c r="A15" s="1184"/>
      <c r="B15" s="1180" t="s">
        <v>515</v>
      </c>
      <c r="C15" s="1180" t="s">
        <v>516</v>
      </c>
      <c r="D15" s="1180" t="s">
        <v>515</v>
      </c>
      <c r="E15" s="1180" t="s">
        <v>515</v>
      </c>
      <c r="F15" s="1183"/>
      <c r="G15" s="1180" t="s">
        <v>515</v>
      </c>
      <c r="H15" s="1180" t="s">
        <v>516</v>
      </c>
      <c r="I15" s="1180" t="s">
        <v>515</v>
      </c>
      <c r="J15" s="1182" t="s">
        <v>515</v>
      </c>
    </row>
    <row r="16" spans="1:10" ht="12.75">
      <c r="A16" s="1185"/>
      <c r="B16" s="1186" t="s">
        <v>517</v>
      </c>
      <c r="C16" s="1187"/>
      <c r="D16" s="1186" t="s">
        <v>517</v>
      </c>
      <c r="E16" s="1186" t="s">
        <v>517</v>
      </c>
      <c r="F16" s="1188"/>
      <c r="G16" s="1186" t="s">
        <v>517</v>
      </c>
      <c r="H16" s="1187"/>
      <c r="I16" s="1186" t="s">
        <v>517</v>
      </c>
      <c r="J16" s="1189" t="s">
        <v>517</v>
      </c>
    </row>
    <row r="17" spans="1:10" ht="12.75">
      <c r="A17" s="1190">
        <v>1</v>
      </c>
      <c r="B17" s="1191">
        <v>2</v>
      </c>
      <c r="C17" s="1191">
        <v>3</v>
      </c>
      <c r="D17" s="1191">
        <v>4</v>
      </c>
      <c r="E17" s="1191">
        <v>5</v>
      </c>
      <c r="F17" s="1190">
        <v>8</v>
      </c>
      <c r="G17" s="1191">
        <v>9</v>
      </c>
      <c r="H17" s="1191">
        <v>10</v>
      </c>
      <c r="I17" s="1191">
        <v>11</v>
      </c>
      <c r="J17" s="1192">
        <v>12</v>
      </c>
    </row>
    <row r="18" spans="1:10" ht="12.75">
      <c r="A18" s="1184"/>
      <c r="B18" s="1181"/>
      <c r="C18" s="1181"/>
      <c r="D18" s="1181"/>
      <c r="E18" s="1181"/>
      <c r="F18" s="1184"/>
      <c r="G18" s="1181"/>
      <c r="H18" s="1181"/>
      <c r="I18" s="1181"/>
      <c r="J18" s="2165"/>
    </row>
    <row r="19" spans="1:10" ht="12.75">
      <c r="A19" s="1193" t="s">
        <v>1128</v>
      </c>
      <c r="B19" s="1194"/>
      <c r="C19" s="1181"/>
      <c r="D19" s="1181"/>
      <c r="E19" s="1194"/>
      <c r="F19" s="1193" t="s">
        <v>518</v>
      </c>
      <c r="G19" s="1181"/>
      <c r="H19" s="1181"/>
      <c r="I19" s="1181"/>
      <c r="J19" s="2165"/>
    </row>
    <row r="20" spans="1:10" ht="12.75">
      <c r="A20" s="1178"/>
      <c r="B20" s="1179"/>
      <c r="C20" s="1179"/>
      <c r="D20" s="1179"/>
      <c r="E20" s="1179"/>
      <c r="F20" s="1184"/>
      <c r="G20" s="1181"/>
      <c r="H20" s="1181"/>
      <c r="I20" s="1181"/>
      <c r="J20" s="2165"/>
    </row>
    <row r="21" spans="1:10" ht="12.75">
      <c r="A21" s="1178" t="s">
        <v>1059</v>
      </c>
      <c r="B21" s="1179">
        <v>140507</v>
      </c>
      <c r="C21" s="1179"/>
      <c r="D21" s="1195">
        <f>SUM(B21:C21)</f>
        <v>140507</v>
      </c>
      <c r="E21" s="1179">
        <v>111588</v>
      </c>
      <c r="F21" s="1178" t="s">
        <v>1129</v>
      </c>
      <c r="G21" s="1179">
        <v>84359431</v>
      </c>
      <c r="H21" s="1179"/>
      <c r="I21" s="1179">
        <f>SUM(G21:H21)</f>
        <v>84359431</v>
      </c>
      <c r="J21" s="1197">
        <v>84359431</v>
      </c>
    </row>
    <row r="22" spans="1:10" ht="12.75">
      <c r="A22" s="1178"/>
      <c r="B22" s="1179"/>
      <c r="C22" s="1179"/>
      <c r="D22" s="1195"/>
      <c r="E22" s="1179"/>
      <c r="F22" s="1178"/>
      <c r="G22" s="1179"/>
      <c r="H22" s="1179"/>
      <c r="I22" s="1179"/>
      <c r="J22" s="1197"/>
    </row>
    <row r="23" spans="1:10" ht="12.75">
      <c r="A23" s="1178" t="s">
        <v>1060</v>
      </c>
      <c r="B23" s="1179">
        <v>82498138</v>
      </c>
      <c r="C23" s="1179"/>
      <c r="D23" s="1195">
        <f>SUM(B23:C23)</f>
        <v>82498138</v>
      </c>
      <c r="E23" s="1179">
        <v>86612727</v>
      </c>
      <c r="F23" s="1178" t="s">
        <v>1130</v>
      </c>
      <c r="G23" s="1179">
        <v>2374180</v>
      </c>
      <c r="H23" s="1179"/>
      <c r="I23" s="1179">
        <f>SUM(G23:H23)</f>
        <v>2374180</v>
      </c>
      <c r="J23" s="1197">
        <v>8274290</v>
      </c>
    </row>
    <row r="24" spans="1:10" ht="12.75">
      <c r="A24" s="1178"/>
      <c r="B24" s="1179"/>
      <c r="C24" s="1179"/>
      <c r="D24" s="1195"/>
      <c r="E24" s="1179"/>
      <c r="F24" s="1178"/>
      <c r="G24" s="1179"/>
      <c r="H24" s="1179"/>
      <c r="I24" s="1179"/>
      <c r="J24" s="1197"/>
    </row>
    <row r="25" spans="1:10" ht="12.75">
      <c r="A25" s="1178" t="s">
        <v>1061</v>
      </c>
      <c r="B25" s="1179">
        <v>2280100</v>
      </c>
      <c r="C25" s="1179"/>
      <c r="D25" s="1195">
        <f>SUM(B25:C25)</f>
        <v>2280100</v>
      </c>
      <c r="E25" s="1179">
        <v>2911688</v>
      </c>
      <c r="F25" s="1178" t="s">
        <v>1131</v>
      </c>
      <c r="G25" s="1179">
        <v>22297</v>
      </c>
      <c r="H25" s="1179"/>
      <c r="I25" s="1179">
        <f>SUM(G25:H25)</f>
        <v>22297</v>
      </c>
      <c r="J25" s="1197">
        <v>17640</v>
      </c>
    </row>
    <row r="26" spans="1:10" ht="12.75">
      <c r="A26" s="1178"/>
      <c r="B26" s="1179"/>
      <c r="C26" s="1179"/>
      <c r="D26" s="1195"/>
      <c r="E26" s="1179"/>
      <c r="F26" s="1178"/>
      <c r="G26" s="1179"/>
      <c r="H26" s="1187"/>
      <c r="I26" s="1187"/>
      <c r="J26" s="2166"/>
    </row>
    <row r="27" spans="1:10" ht="12.75">
      <c r="A27" s="1178" t="s">
        <v>862</v>
      </c>
      <c r="B27" s="1179">
        <v>4381549</v>
      </c>
      <c r="C27" s="1179"/>
      <c r="D27" s="1195">
        <f>SUM(B27:C27)</f>
        <v>4381549</v>
      </c>
      <c r="E27" s="1179">
        <v>2379299</v>
      </c>
      <c r="F27" s="1198" t="s">
        <v>519</v>
      </c>
      <c r="G27" s="1199">
        <f>SUM(G21:G25)</f>
        <v>86755908</v>
      </c>
      <c r="H27" s="1199">
        <f>SUM(H21:H25)</f>
        <v>0</v>
      </c>
      <c r="I27" s="1199">
        <f>SUM(I21:I25)</f>
        <v>86755908</v>
      </c>
      <c r="J27" s="1200">
        <f>SUM(J21:J25)</f>
        <v>92651361</v>
      </c>
    </row>
    <row r="28" spans="1:10" ht="12.75">
      <c r="A28" s="1178" t="s">
        <v>864</v>
      </c>
      <c r="B28" s="1179"/>
      <c r="C28" s="1179"/>
      <c r="D28" s="1195"/>
      <c r="E28" s="1179"/>
      <c r="F28" s="1201"/>
      <c r="G28" s="1202"/>
      <c r="H28" s="1179"/>
      <c r="I28" s="1179"/>
      <c r="J28" s="2167"/>
    </row>
    <row r="29" spans="1:10" ht="12.75">
      <c r="A29" s="1178" t="s">
        <v>863</v>
      </c>
      <c r="B29" s="1179"/>
      <c r="C29" s="1179"/>
      <c r="D29" s="1195"/>
      <c r="E29" s="1179"/>
      <c r="F29" s="1201"/>
      <c r="G29" s="1202"/>
      <c r="H29" s="1179"/>
      <c r="I29" s="1179"/>
      <c r="J29" s="2167"/>
    </row>
    <row r="30" spans="1:10" ht="12.75">
      <c r="A30" s="1188"/>
      <c r="B30" s="1187"/>
      <c r="C30" s="1187"/>
      <c r="D30" s="1203"/>
      <c r="E30" s="1187"/>
      <c r="F30" s="1201" t="s">
        <v>59</v>
      </c>
      <c r="G30" s="1202"/>
      <c r="H30" s="1179"/>
      <c r="I30" s="1179"/>
      <c r="J30" s="2167"/>
    </row>
    <row r="31" spans="1:10" ht="12.75">
      <c r="A31" s="1185" t="s">
        <v>495</v>
      </c>
      <c r="B31" s="1199">
        <f>SUM(B21:B30)</f>
        <v>89300294</v>
      </c>
      <c r="C31" s="1199">
        <f>SUM(C21:C30)</f>
        <v>0</v>
      </c>
      <c r="D31" s="1199">
        <f>SUM(D21:D30)</f>
        <v>89300294</v>
      </c>
      <c r="E31" s="1199">
        <f>SUM(E21:E30)</f>
        <v>92015302</v>
      </c>
      <c r="F31" s="1201"/>
      <c r="G31" s="1202"/>
      <c r="H31" s="1202"/>
      <c r="I31" s="1202"/>
      <c r="J31" s="2167"/>
    </row>
    <row r="32" spans="1:10" ht="12.75">
      <c r="A32" s="1178"/>
      <c r="B32" s="1179"/>
      <c r="C32" s="1179"/>
      <c r="D32" s="1195"/>
      <c r="E32" s="1179"/>
      <c r="F32" s="1178" t="s">
        <v>1062</v>
      </c>
      <c r="G32" s="1196">
        <v>4943491</v>
      </c>
      <c r="H32" s="1179"/>
      <c r="I32" s="1179">
        <f>SUM(G32:H32)</f>
        <v>4943491</v>
      </c>
      <c r="J32" s="2166">
        <v>4947545</v>
      </c>
    </row>
    <row r="33" spans="1:10" ht="12.75">
      <c r="A33" s="1178"/>
      <c r="B33" s="1179"/>
      <c r="C33" s="1179"/>
      <c r="D33" s="1195"/>
      <c r="E33" s="1179"/>
      <c r="F33" s="1178"/>
      <c r="G33" s="1179"/>
      <c r="H33" s="1179"/>
      <c r="I33" s="1179"/>
      <c r="J33" s="2166"/>
    </row>
    <row r="34" spans="1:10" ht="12.75">
      <c r="A34" s="1201" t="s">
        <v>496</v>
      </c>
      <c r="B34" s="1179"/>
      <c r="C34" s="1179"/>
      <c r="D34" s="1195"/>
      <c r="E34" s="1179"/>
      <c r="F34" s="1178" t="s">
        <v>1063</v>
      </c>
      <c r="G34" s="1179">
        <v>0</v>
      </c>
      <c r="H34" s="1179"/>
      <c r="I34" s="1179">
        <f>SUM(G34:H34)</f>
        <v>0</v>
      </c>
      <c r="J34" s="2166">
        <v>0</v>
      </c>
    </row>
    <row r="35" spans="1:10" ht="12.75">
      <c r="A35" s="1178"/>
      <c r="B35" s="1179"/>
      <c r="C35" s="1179"/>
      <c r="D35" s="1195"/>
      <c r="E35" s="1179"/>
      <c r="F35" s="1188"/>
      <c r="G35" s="1187"/>
      <c r="H35" s="1187"/>
      <c r="I35" s="1187"/>
      <c r="J35" s="2168"/>
    </row>
    <row r="36" spans="1:10" ht="12.75">
      <c r="A36" s="1178"/>
      <c r="B36" s="1179"/>
      <c r="C36" s="1179"/>
      <c r="D36" s="1195"/>
      <c r="E36" s="1179"/>
      <c r="F36" s="1185" t="s">
        <v>497</v>
      </c>
      <c r="G36" s="1199">
        <f>SUM(G32:G35)</f>
        <v>4943491</v>
      </c>
      <c r="H36" s="1199">
        <f>SUM(H32:H35)</f>
        <v>0</v>
      </c>
      <c r="I36" s="1199">
        <f>SUM(I32:I35)</f>
        <v>4943491</v>
      </c>
      <c r="J36" s="1200">
        <f>SUM(J32:J35)</f>
        <v>4947545</v>
      </c>
    </row>
    <row r="37" spans="1:10" ht="12.75">
      <c r="A37" s="1178" t="s">
        <v>1064</v>
      </c>
      <c r="B37" s="1179">
        <v>18715</v>
      </c>
      <c r="C37" s="1179"/>
      <c r="D37" s="1195">
        <f>SUM(B37:C37)</f>
        <v>18715</v>
      </c>
      <c r="E37" s="1179">
        <v>17351</v>
      </c>
      <c r="F37" s="1178"/>
      <c r="G37" s="1179"/>
      <c r="H37" s="1179"/>
      <c r="I37" s="1179"/>
      <c r="J37" s="2166"/>
    </row>
    <row r="38" spans="1:10" ht="12.75">
      <c r="A38" s="1178"/>
      <c r="B38" s="1179"/>
      <c r="C38" s="1179"/>
      <c r="D38" s="1195"/>
      <c r="E38" s="1179"/>
      <c r="F38" s="1178"/>
      <c r="G38" s="1179"/>
      <c r="H38" s="1179"/>
      <c r="I38" s="1179"/>
      <c r="J38" s="2166"/>
    </row>
    <row r="39" spans="1:10" ht="12.75">
      <c r="A39" s="1178" t="s">
        <v>1065</v>
      </c>
      <c r="B39" s="1179">
        <v>1101525</v>
      </c>
      <c r="C39" s="1179"/>
      <c r="D39" s="1195">
        <f>SUM(B39:C39)</f>
        <v>1101525</v>
      </c>
      <c r="E39" s="1179">
        <v>1395760</v>
      </c>
      <c r="F39" s="1201" t="s">
        <v>498</v>
      </c>
      <c r="G39" s="1179"/>
      <c r="H39" s="1179"/>
      <c r="I39" s="1179"/>
      <c r="J39" s="2166"/>
    </row>
    <row r="40" spans="1:10" ht="12.75">
      <c r="A40" s="1178"/>
      <c r="B40" s="1179"/>
      <c r="C40" s="1179"/>
      <c r="D40" s="1195"/>
      <c r="E40" s="1179"/>
      <c r="F40" s="1178"/>
      <c r="G40" s="1179"/>
      <c r="H40" s="1179"/>
      <c r="I40" s="1179"/>
      <c r="J40" s="2166"/>
    </row>
    <row r="41" spans="1:10" ht="12.75">
      <c r="A41" s="1178" t="s">
        <v>1066</v>
      </c>
      <c r="B41" s="1179">
        <v>0</v>
      </c>
      <c r="C41" s="1179"/>
      <c r="D41" s="1195">
        <f>SUM(B41:C41)</f>
        <v>0</v>
      </c>
      <c r="E41" s="1179">
        <v>0</v>
      </c>
      <c r="F41" s="1178" t="s">
        <v>1067</v>
      </c>
      <c r="G41" s="1196">
        <v>982145</v>
      </c>
      <c r="H41" s="1179"/>
      <c r="I41" s="1179">
        <f>SUM(G41:H41)</f>
        <v>982145</v>
      </c>
      <c r="J41" s="2166">
        <v>418721</v>
      </c>
    </row>
    <row r="42" spans="1:10" ht="12.75">
      <c r="A42" s="1178"/>
      <c r="B42" s="1179"/>
      <c r="C42" s="1179"/>
      <c r="D42" s="1195"/>
      <c r="E42" s="1179"/>
      <c r="F42" s="1178"/>
      <c r="G42" s="1196"/>
      <c r="H42" s="1179"/>
      <c r="I42" s="1179"/>
      <c r="J42" s="2166"/>
    </row>
    <row r="43" spans="1:10" ht="12.75">
      <c r="A43" s="1178" t="s">
        <v>1068</v>
      </c>
      <c r="B43" s="1179">
        <v>4912072</v>
      </c>
      <c r="C43" s="1179"/>
      <c r="D43" s="1195">
        <f>SUM(B43:C43)</f>
        <v>4912072</v>
      </c>
      <c r="E43" s="1179">
        <v>4857662</v>
      </c>
      <c r="F43" s="1178" t="s">
        <v>1069</v>
      </c>
      <c r="G43" s="1196">
        <v>2682481</v>
      </c>
      <c r="H43" s="1179"/>
      <c r="I43" s="1179">
        <f>SUM(G43:H43)</f>
        <v>2682481</v>
      </c>
      <c r="J43" s="2166">
        <v>358331</v>
      </c>
    </row>
    <row r="44" spans="1:10" ht="12.75">
      <c r="A44" s="1178"/>
      <c r="B44" s="1179"/>
      <c r="C44" s="1179"/>
      <c r="D44" s="1195"/>
      <c r="E44" s="1179"/>
      <c r="F44" s="1178"/>
      <c r="G44" s="1196"/>
      <c r="H44" s="1179"/>
      <c r="I44" s="1179"/>
      <c r="J44" s="2166"/>
    </row>
    <row r="45" spans="1:10" ht="12.75">
      <c r="A45" s="1178" t="s">
        <v>1127</v>
      </c>
      <c r="B45" s="1179">
        <v>166909</v>
      </c>
      <c r="C45" s="1179"/>
      <c r="D45" s="1195">
        <f>SUM(B45:C45)</f>
        <v>166909</v>
      </c>
      <c r="E45" s="1179">
        <v>117517</v>
      </c>
      <c r="F45" s="1178" t="s">
        <v>1070</v>
      </c>
      <c r="G45" s="1196">
        <v>135490</v>
      </c>
      <c r="H45" s="1179"/>
      <c r="I45" s="1179">
        <f>SUM(G45:H45)</f>
        <v>135490</v>
      </c>
      <c r="J45" s="2166">
        <v>27634</v>
      </c>
    </row>
    <row r="46" spans="1:10" ht="12.75">
      <c r="A46" s="1178"/>
      <c r="B46" s="1179"/>
      <c r="C46" s="1179"/>
      <c r="D46" s="1195"/>
      <c r="E46" s="1179"/>
      <c r="F46" s="1201"/>
      <c r="G46" s="1202"/>
      <c r="H46" s="1204"/>
      <c r="I46" s="1204"/>
      <c r="J46" s="2167"/>
    </row>
    <row r="47" spans="1:10" ht="12.75">
      <c r="A47" s="1198" t="s">
        <v>1036</v>
      </c>
      <c r="B47" s="1199">
        <f>SUM(B37:B45)</f>
        <v>6199221</v>
      </c>
      <c r="C47" s="1199">
        <f>SUM(C37:C45)</f>
        <v>0</v>
      </c>
      <c r="D47" s="1199">
        <f>SUM(D37:D45)</f>
        <v>6199221</v>
      </c>
      <c r="E47" s="1199">
        <f>SUM(E37:E45)</f>
        <v>6388290</v>
      </c>
      <c r="F47" s="1198" t="s">
        <v>1037</v>
      </c>
      <c r="G47" s="1199">
        <f>SUM(G41:G46)</f>
        <v>3800116</v>
      </c>
      <c r="H47" s="1199">
        <f>SUM(H41:H46)</f>
        <v>0</v>
      </c>
      <c r="I47" s="1199">
        <f>SUM(I41:I46)</f>
        <v>3800116</v>
      </c>
      <c r="J47" s="1200">
        <f>SUM(J41:J46)</f>
        <v>804686</v>
      </c>
    </row>
    <row r="48" spans="1:10" ht="12.75">
      <c r="A48" s="1178"/>
      <c r="B48" s="1179"/>
      <c r="C48" s="1179"/>
      <c r="D48" s="1195"/>
      <c r="E48" s="1179"/>
      <c r="F48" s="1201"/>
      <c r="G48" s="1205"/>
      <c r="H48" s="1179"/>
      <c r="I48" s="1179"/>
      <c r="J48" s="2169"/>
    </row>
    <row r="49" spans="1:10" ht="13.5" thickBot="1">
      <c r="A49" s="1206" t="s">
        <v>1038</v>
      </c>
      <c r="B49" s="1207">
        <f>B31+B47</f>
        <v>95499515</v>
      </c>
      <c r="C49" s="1207">
        <f>C31+C47</f>
        <v>0</v>
      </c>
      <c r="D49" s="1207">
        <f>D31+D47</f>
        <v>95499515</v>
      </c>
      <c r="E49" s="1207">
        <f>E31+E47</f>
        <v>98403592</v>
      </c>
      <c r="F49" s="1206" t="s">
        <v>1039</v>
      </c>
      <c r="G49" s="1207">
        <f>G27+G36+G47</f>
        <v>95499515</v>
      </c>
      <c r="H49" s="1207">
        <f>H27+H36+H47</f>
        <v>0</v>
      </c>
      <c r="I49" s="1207">
        <f>I27+I36+I47</f>
        <v>95499515</v>
      </c>
      <c r="J49" s="2170">
        <f>J27+J36+J47</f>
        <v>98403592</v>
      </c>
    </row>
  </sheetData>
  <sheetProtection/>
  <mergeCells count="2">
    <mergeCell ref="A4:J4"/>
    <mergeCell ref="A5:J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T60"/>
  <sheetViews>
    <sheetView zoomScale="90" zoomScaleNormal="90" zoomScalePageLayoutView="0" workbookViewId="0" topLeftCell="A1">
      <selection activeCell="E2" sqref="E2"/>
    </sheetView>
  </sheetViews>
  <sheetFormatPr defaultColWidth="9.00390625" defaultRowHeight="12.75"/>
  <cols>
    <col min="1" max="1" width="5.625" style="87" customWidth="1"/>
    <col min="2" max="2" width="68.625" style="87" customWidth="1"/>
    <col min="3" max="5" width="14.75390625" style="87" customWidth="1"/>
    <col min="6" max="8" width="0" style="87" hidden="1" customWidth="1"/>
    <col min="9" max="16384" width="9.125" style="87" customWidth="1"/>
  </cols>
  <sheetData>
    <row r="1" ht="15"/>
    <row r="2" spans="3:5" ht="15">
      <c r="C2" s="15"/>
      <c r="D2" s="15"/>
      <c r="E2" s="165" t="s">
        <v>1273</v>
      </c>
    </row>
    <row r="3" spans="3:5" ht="15">
      <c r="C3" s="15"/>
      <c r="D3" s="15"/>
      <c r="E3" s="165" t="s">
        <v>71</v>
      </c>
    </row>
    <row r="4" spans="3:5" ht="15.75" hidden="1">
      <c r="C4" s="15"/>
      <c r="D4" s="15"/>
      <c r="E4" s="334" t="s">
        <v>1019</v>
      </c>
    </row>
    <row r="5" spans="1:5" ht="9.75" customHeight="1">
      <c r="A5" s="2294" t="s">
        <v>432</v>
      </c>
      <c r="B5" s="2294"/>
      <c r="C5" s="2294"/>
      <c r="D5" s="2294"/>
      <c r="E5" s="2294"/>
    </row>
    <row r="6" spans="1:5" ht="15.75">
      <c r="A6" s="2326" t="s">
        <v>1251</v>
      </c>
      <c r="B6" s="2326"/>
      <c r="C6" s="2326"/>
      <c r="D6" s="2326"/>
      <c r="E6" s="2326"/>
    </row>
    <row r="7" spans="1:5" ht="13.5" customHeight="1">
      <c r="A7" s="2319" t="s">
        <v>72</v>
      </c>
      <c r="B7" s="2319"/>
      <c r="C7" s="2319"/>
      <c r="D7" s="2319"/>
      <c r="E7" s="2319"/>
    </row>
    <row r="8" spans="1:5" ht="15.75" thickBot="1">
      <c r="A8" s="48"/>
      <c r="B8" s="15"/>
      <c r="C8" s="15"/>
      <c r="D8" s="15"/>
      <c r="E8" s="15"/>
    </row>
    <row r="9" spans="1:5" ht="15.75" thickBot="1">
      <c r="A9" s="458" t="s">
        <v>1040</v>
      </c>
      <c r="B9" s="2322" t="s">
        <v>1041</v>
      </c>
      <c r="C9" s="459" t="s">
        <v>222</v>
      </c>
      <c r="D9" s="459" t="s">
        <v>225</v>
      </c>
      <c r="E9" s="2324" t="s">
        <v>302</v>
      </c>
    </row>
    <row r="10" spans="1:5" ht="15.75" thickBot="1">
      <c r="A10" s="460" t="s">
        <v>316</v>
      </c>
      <c r="B10" s="2323"/>
      <c r="C10" s="2320" t="s">
        <v>4</v>
      </c>
      <c r="D10" s="2321"/>
      <c r="E10" s="2325"/>
    </row>
    <row r="11" spans="1:5" ht="15.75" customHeight="1">
      <c r="A11" s="434">
        <v>1</v>
      </c>
      <c r="B11" s="435" t="s">
        <v>483</v>
      </c>
      <c r="C11" s="461">
        <f>T_2_kiadás_2013!C14</f>
        <v>3472166</v>
      </c>
      <c r="D11" s="461">
        <f>T_2_kiadás_2013!D14</f>
        <v>3956108.937</v>
      </c>
      <c r="E11" s="462">
        <f>T_2_kiadás_2013!E14</f>
        <v>3733309</v>
      </c>
    </row>
    <row r="12" spans="1:45" ht="15.75" customHeight="1">
      <c r="A12" s="434">
        <v>2</v>
      </c>
      <c r="B12" s="435" t="s">
        <v>1242</v>
      </c>
      <c r="C12" s="461">
        <f>T_2_kiadás_2013!C15</f>
        <v>911526</v>
      </c>
      <c r="D12" s="461">
        <f>T_2_kiadás_2013!D15</f>
        <v>999134.437</v>
      </c>
      <c r="E12" s="462">
        <f>T_2_kiadás_2013!E15</f>
        <v>933642.87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</row>
    <row r="13" spans="1:45" ht="15.75" customHeight="1">
      <c r="A13" s="434">
        <v>3</v>
      </c>
      <c r="B13" s="435" t="s">
        <v>22</v>
      </c>
      <c r="C13" s="461">
        <f>T_2_kiadás_2013!C16</f>
        <v>5779810</v>
      </c>
      <c r="D13" s="461">
        <f>T_2_kiadás_2013!D16</f>
        <v>6273040.956</v>
      </c>
      <c r="E13" s="462">
        <f>T_2_kiadás_2013!E16</f>
        <v>5483481.541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</row>
    <row r="14" spans="1:46" ht="15.75" customHeight="1">
      <c r="A14" s="434">
        <v>4</v>
      </c>
      <c r="B14" s="435" t="s">
        <v>340</v>
      </c>
      <c r="C14" s="461">
        <f>T_2_kiadás_2013!C18</f>
        <v>25000</v>
      </c>
      <c r="D14" s="461">
        <f>T_2_kiadás_2013!D18</f>
        <v>522779</v>
      </c>
      <c r="E14" s="462">
        <f>T_2_kiadás_2013!E18</f>
        <v>532889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</row>
    <row r="15" spans="1:46" ht="15.75" customHeight="1">
      <c r="A15" s="434">
        <v>5</v>
      </c>
      <c r="B15" s="435" t="s">
        <v>341</v>
      </c>
      <c r="C15" s="461">
        <f>T_2_kiadás_2013!C21</f>
        <v>436694</v>
      </c>
      <c r="D15" s="461">
        <f>T_2_kiadás_2013!D21</f>
        <v>456407</v>
      </c>
      <c r="E15" s="462">
        <f>T_2_kiadás_2013!E21</f>
        <v>429289</v>
      </c>
      <c r="F15" s="2133" t="s">
        <v>1240</v>
      </c>
      <c r="G15" s="2133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</row>
    <row r="16" spans="1:46" ht="15.75" customHeight="1">
      <c r="A16" s="434">
        <v>6</v>
      </c>
      <c r="B16" s="435" t="s">
        <v>342</v>
      </c>
      <c r="C16" s="461">
        <f>T_2_kiadás_2013!C23+T_2_kiadás_2013!C24</f>
        <v>333399</v>
      </c>
      <c r="D16" s="461">
        <f>T_2_kiadás_2013!D23+T_2_kiadás_2013!D24</f>
        <v>325360</v>
      </c>
      <c r="E16" s="462">
        <f>T_2_kiadás_2013!E23+T_2_kiadás_2013!E24</f>
        <v>292522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</row>
    <row r="17" spans="1:45" ht="15.75" customHeight="1">
      <c r="A17" s="434">
        <v>7</v>
      </c>
      <c r="B17" s="435" t="s">
        <v>6</v>
      </c>
      <c r="C17" s="461">
        <f>T_2_kiadás_2013!C29</f>
        <v>27940</v>
      </c>
      <c r="D17" s="461">
        <f>T_2_kiadás_2013!D29</f>
        <v>118637</v>
      </c>
      <c r="E17" s="462">
        <f>T_2_kiadás_2013!E29</f>
        <v>98033.763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</row>
    <row r="18" spans="1:45" ht="15.75" customHeight="1">
      <c r="A18" s="434">
        <v>8</v>
      </c>
      <c r="B18" s="435" t="s">
        <v>372</v>
      </c>
      <c r="C18" s="461">
        <f>T_2_kiadás_2013!C30</f>
        <v>1776056</v>
      </c>
      <c r="D18" s="461">
        <f>T_2_kiadás_2013!D30</f>
        <v>3389078.6159999995</v>
      </c>
      <c r="E18" s="462">
        <f>T_2_kiadás_2013!E30</f>
        <v>2083652.697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</row>
    <row r="19" spans="1:45" ht="15.75" customHeight="1">
      <c r="A19" s="434">
        <v>9</v>
      </c>
      <c r="B19" s="435" t="s">
        <v>343</v>
      </c>
      <c r="C19" s="461">
        <f>T_2_kiadás_2013!C19+T_2_kiadás_2013!C35</f>
        <v>25524</v>
      </c>
      <c r="D19" s="461">
        <f>T_2_kiadás_2013!D19</f>
        <v>82019</v>
      </c>
      <c r="E19" s="462">
        <f>T_2_kiadás_2013!E19</f>
        <v>58813.389</v>
      </c>
      <c r="F19" s="2133" t="s">
        <v>1241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</row>
    <row r="20" spans="1:45" ht="15.75" customHeight="1">
      <c r="A20" s="434">
        <v>10</v>
      </c>
      <c r="B20" s="435" t="s">
        <v>411</v>
      </c>
      <c r="C20" s="461">
        <f>T_2_kiadás_2013!C22</f>
        <v>110950</v>
      </c>
      <c r="D20" s="461">
        <f>T_2_kiadás_2013!D22</f>
        <v>201163</v>
      </c>
      <c r="E20" s="462">
        <f>T_2_kiadás_2013!E22</f>
        <v>102965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</row>
    <row r="21" spans="1:45" ht="15.75" customHeight="1">
      <c r="A21" s="434">
        <v>11</v>
      </c>
      <c r="B21" s="435" t="s">
        <v>412</v>
      </c>
      <c r="C21" s="461">
        <f>T_2_kiadás_2013!C33</f>
        <v>15000</v>
      </c>
      <c r="D21" s="461">
        <f>T_2_kiadás_2013!D33</f>
        <v>24807</v>
      </c>
      <c r="E21" s="462">
        <f>T_2_kiadás_2013!E33</f>
        <v>10360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</row>
    <row r="22" spans="1:45" ht="15.75" customHeight="1">
      <c r="A22" s="434">
        <v>12</v>
      </c>
      <c r="B22" s="435" t="s">
        <v>413</v>
      </c>
      <c r="C22" s="461">
        <f>T_2_kiadás_2013!C32</f>
        <v>200</v>
      </c>
      <c r="D22" s="461">
        <f>T_2_kiadás_2013!D32</f>
        <v>200</v>
      </c>
      <c r="E22" s="462">
        <f>T_2_kiadás_2013!E32</f>
        <v>0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</row>
    <row r="23" spans="1:5" ht="15.75" customHeight="1">
      <c r="A23" s="436">
        <v>13</v>
      </c>
      <c r="B23" s="437" t="s">
        <v>414</v>
      </c>
      <c r="C23" s="463">
        <f>SUM(C11:C22)</f>
        <v>12914265</v>
      </c>
      <c r="D23" s="463">
        <f>SUM(D11:D22)</f>
        <v>16348734.945999999</v>
      </c>
      <c r="E23" s="464">
        <f>SUM(E11:E22)</f>
        <v>13758958.260000002</v>
      </c>
    </row>
    <row r="24" spans="1:5" ht="15.75" customHeight="1">
      <c r="A24" s="438">
        <v>14</v>
      </c>
      <c r="B24" s="439" t="s">
        <v>1132</v>
      </c>
      <c r="C24" s="545">
        <f>T_2_kiadás_2013!C36</f>
        <v>86897</v>
      </c>
      <c r="D24" s="545">
        <f>T_2_kiadás_2013!D36</f>
        <v>128793</v>
      </c>
      <c r="E24" s="549">
        <f>T_2_kiadás_2013!E36</f>
        <v>128793</v>
      </c>
    </row>
    <row r="25" spans="1:5" ht="15.75" customHeight="1">
      <c r="A25" s="434">
        <v>15</v>
      </c>
      <c r="B25" s="439" t="s">
        <v>1133</v>
      </c>
      <c r="C25" s="472"/>
      <c r="D25" s="472"/>
      <c r="E25" s="473"/>
    </row>
    <row r="26" spans="1:5" ht="15.75" customHeight="1">
      <c r="A26" s="434">
        <v>16</v>
      </c>
      <c r="B26" s="439" t="s">
        <v>1245</v>
      </c>
      <c r="C26" s="472"/>
      <c r="D26" s="472"/>
      <c r="E26" s="473"/>
    </row>
    <row r="27" spans="1:5" ht="15.75" customHeight="1">
      <c r="A27" s="434">
        <v>17</v>
      </c>
      <c r="B27" s="439" t="s">
        <v>415</v>
      </c>
      <c r="C27" s="465"/>
      <c r="D27" s="461">
        <f>+T_2_kiadás_2013!D35</f>
        <v>750000</v>
      </c>
      <c r="E27" s="462">
        <f>+T_2_kiadás_2013!E35</f>
        <v>749991</v>
      </c>
    </row>
    <row r="28" spans="1:5" ht="15.75" customHeight="1">
      <c r="A28" s="434">
        <v>18</v>
      </c>
      <c r="B28" s="439" t="s">
        <v>416</v>
      </c>
      <c r="C28" s="465"/>
      <c r="D28" s="465"/>
      <c r="E28" s="1943"/>
    </row>
    <row r="29" spans="1:5" ht="15.75" customHeight="1">
      <c r="A29" s="434">
        <v>19</v>
      </c>
      <c r="B29" s="1942" t="s">
        <v>373</v>
      </c>
      <c r="C29" s="465"/>
      <c r="D29" s="465"/>
      <c r="E29" s="1943"/>
    </row>
    <row r="30" spans="1:5" ht="15.75" customHeight="1">
      <c r="A30" s="436">
        <v>20</v>
      </c>
      <c r="B30" s="440" t="s">
        <v>375</v>
      </c>
      <c r="C30" s="466">
        <f>SUM(C24:C28)</f>
        <v>86897</v>
      </c>
      <c r="D30" s="466">
        <f>SUM(D24:D28)</f>
        <v>878793</v>
      </c>
      <c r="E30" s="550">
        <f>SUM(E24:E28)</f>
        <v>878784</v>
      </c>
    </row>
    <row r="31" spans="1:5" ht="15.75" customHeight="1">
      <c r="A31" s="436">
        <v>21</v>
      </c>
      <c r="B31" s="440" t="s">
        <v>374</v>
      </c>
      <c r="C31" s="466">
        <f>C23+C30</f>
        <v>13001162</v>
      </c>
      <c r="D31" s="466">
        <f>D23+D30</f>
        <v>17227527.946</v>
      </c>
      <c r="E31" s="550">
        <f>E23+E30</f>
        <v>14637742.260000002</v>
      </c>
    </row>
    <row r="32" spans="1:45" ht="15.75" customHeight="1">
      <c r="A32" s="434">
        <v>22</v>
      </c>
      <c r="B32" s="435" t="s">
        <v>63</v>
      </c>
      <c r="C32" s="546">
        <f>+T_2_kiadás_2013!C26+T_2_kiadás_2013!C27+T_2_kiadás_2013!C28</f>
        <v>1747175</v>
      </c>
      <c r="D32" s="546">
        <f>+T_2_kiadás_2013!D26+T_2_kiadás_2013!D27+T_2_kiadás_2013!D28</f>
        <v>1772416</v>
      </c>
      <c r="E32" s="551"/>
      <c r="F32" s="187" t="s">
        <v>1243</v>
      </c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</row>
    <row r="33" spans="1:5" ht="15.75" customHeight="1">
      <c r="A33" s="441">
        <v>23</v>
      </c>
      <c r="B33" s="442" t="s">
        <v>417</v>
      </c>
      <c r="C33" s="467"/>
      <c r="D33" s="467"/>
      <c r="E33" s="468">
        <f>T_2_kiadás_2013!E38</f>
        <v>-88198</v>
      </c>
    </row>
    <row r="34" spans="1:5" ht="15.75" customHeight="1">
      <c r="A34" s="436">
        <v>24</v>
      </c>
      <c r="B34" s="443" t="s">
        <v>376</v>
      </c>
      <c r="C34" s="463">
        <f>SUM(C31:C33)</f>
        <v>14748337</v>
      </c>
      <c r="D34" s="463">
        <f>SUM(D31:D33)</f>
        <v>18999943.946</v>
      </c>
      <c r="E34" s="464">
        <f>SUM(E31:E33)</f>
        <v>14549544.260000002</v>
      </c>
    </row>
    <row r="35" spans="1:5" ht="15.75" customHeight="1">
      <c r="A35" s="438">
        <v>25</v>
      </c>
      <c r="B35" s="444" t="s">
        <v>381</v>
      </c>
      <c r="C35" s="546">
        <f>T_3_bevétel_2013!C13</f>
        <v>9855888</v>
      </c>
      <c r="D35" s="546">
        <f>T_3_bevétel_2013!D13</f>
        <v>9777102</v>
      </c>
      <c r="E35" s="551">
        <f>T_3_bevétel_2013!E13</f>
        <v>10126370.364</v>
      </c>
    </row>
    <row r="36" spans="1:45" ht="15.75" customHeight="1">
      <c r="A36" s="434">
        <v>26</v>
      </c>
      <c r="B36" s="435" t="s">
        <v>418</v>
      </c>
      <c r="C36" s="461">
        <f>T_3_bevétel_2013!C50</f>
        <v>1023434</v>
      </c>
      <c r="D36" s="461">
        <f>T_3_bevétel_2013!D50+T_3_bevétel_2013!D85</f>
        <v>1479797.37</v>
      </c>
      <c r="E36" s="462">
        <f>T_3_bevétel_2013!E50+T_3_bevétel_2013!E85</f>
        <v>1672003.351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</row>
    <row r="37" spans="1:45" ht="15.75" customHeight="1">
      <c r="A37" s="434">
        <v>27</v>
      </c>
      <c r="B37" s="435" t="s">
        <v>419</v>
      </c>
      <c r="C37" s="461">
        <f>T_3_bevétel_2013!C82</f>
        <v>0</v>
      </c>
      <c r="D37" s="461">
        <f>T_3_bevétel_2013!D82</f>
        <v>4400.875</v>
      </c>
      <c r="E37" s="462">
        <f>T_3_bevétel_2013!E82</f>
        <v>4401</v>
      </c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</row>
    <row r="38" spans="1:45" ht="15.75" customHeight="1">
      <c r="A38" s="445">
        <v>28</v>
      </c>
      <c r="B38" s="446" t="s">
        <v>64</v>
      </c>
      <c r="C38" s="461">
        <f>T_3_bevétel_2013!C54-C44</f>
        <v>899682</v>
      </c>
      <c r="D38" s="461">
        <f>T_3_bevétel_2013!D54-D44</f>
        <v>597645</v>
      </c>
      <c r="E38" s="462">
        <f>T_3_bevétel_2013!E54-E44</f>
        <v>611797.4010000001</v>
      </c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</row>
    <row r="39" spans="1:45" s="189" customFormat="1" ht="15.75" customHeight="1">
      <c r="A39" s="447">
        <v>29</v>
      </c>
      <c r="B39" s="448" t="s">
        <v>650</v>
      </c>
      <c r="C39" s="469">
        <f>T_3_bevétel_2013!C55+T_3_bevétel_2013!C64</f>
        <v>879000</v>
      </c>
      <c r="D39" s="469">
        <f>T_3_bevétel_2013!D55+T_3_bevétel_2013!D64-T_3_bevétel_2013!D63</f>
        <v>555400</v>
      </c>
      <c r="E39" s="1213">
        <f>T_3_bevétel_2013!E55+T_3_bevétel_2013!E64-T_3_bevétel_2013!E63</f>
        <v>569552.351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</row>
    <row r="40" spans="1:45" s="189" customFormat="1" ht="15.75" customHeight="1">
      <c r="A40" s="449">
        <v>30</v>
      </c>
      <c r="B40" s="435" t="s">
        <v>420</v>
      </c>
      <c r="C40" s="461">
        <f>T_3_bevétel_2013!C52</f>
        <v>250568</v>
      </c>
      <c r="D40" s="461">
        <f>T_3_bevétel_2013!D52+T_3_bevétel_2013!D86</f>
        <v>80501.842</v>
      </c>
      <c r="E40" s="462">
        <f>T_3_bevétel_2013!E52+T_3_bevétel_2013!E86</f>
        <v>79187.168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</row>
    <row r="41" spans="1:45" s="189" customFormat="1" ht="15.75" customHeight="1">
      <c r="A41" s="449">
        <v>31</v>
      </c>
      <c r="B41" s="435" t="s">
        <v>421</v>
      </c>
      <c r="C41" s="461">
        <f>T_3_bevétel_2013!C83</f>
        <v>0</v>
      </c>
      <c r="D41" s="461">
        <f>T_3_bevétel_2013!D83</f>
        <v>79.405</v>
      </c>
      <c r="E41" s="462">
        <f>T_3_bevétel_2013!E83</f>
        <v>79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</row>
    <row r="42" spans="1:45" ht="15.75" customHeight="1">
      <c r="A42" s="445">
        <v>32</v>
      </c>
      <c r="B42" s="446" t="s">
        <v>422</v>
      </c>
      <c r="C42" s="461">
        <f>T_3_bevétel_2013!C45+T_3_bevétel_2013!C46</f>
        <v>1842465</v>
      </c>
      <c r="D42" s="461">
        <f>T_3_bevétel_2013!D45+T_3_bevétel_2013!D46</f>
        <v>2086766.402</v>
      </c>
      <c r="E42" s="462">
        <f>T_3_bevétel_2013!E45+T_3_bevétel_2013!E46</f>
        <v>2086765.958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</row>
    <row r="43" spans="1:45" s="189" customFormat="1" ht="15.75" customHeight="1">
      <c r="A43" s="447">
        <v>33</v>
      </c>
      <c r="B43" s="450" t="s">
        <v>423</v>
      </c>
      <c r="C43" s="470">
        <f>C42</f>
        <v>1842465</v>
      </c>
      <c r="D43" s="470">
        <f>D42</f>
        <v>2086766.402</v>
      </c>
      <c r="E43" s="552">
        <f>E42</f>
        <v>2086765.958</v>
      </c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</row>
    <row r="44" spans="1:45" ht="15.75" customHeight="1">
      <c r="A44" s="434">
        <v>34</v>
      </c>
      <c r="B44" s="435" t="s">
        <v>424</v>
      </c>
      <c r="C44" s="461">
        <f>T_3_bevétel_2013!C77</f>
        <v>26300</v>
      </c>
      <c r="D44" s="461">
        <f>T_3_bevétel_2013!D77</f>
        <v>30160.09</v>
      </c>
      <c r="E44" s="462">
        <f>T_3_bevétel_2013!E77</f>
        <v>30572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</row>
    <row r="45" spans="1:45" ht="15.75" customHeight="1">
      <c r="A45" s="441">
        <v>35</v>
      </c>
      <c r="B45" s="442" t="s">
        <v>425</v>
      </c>
      <c r="C45" s="467">
        <f>T_3_bevétel_2013!C42</f>
        <v>0</v>
      </c>
      <c r="D45" s="467">
        <f>T_3_bevétel_2013!D42</f>
        <v>0</v>
      </c>
      <c r="E45" s="1989">
        <f>T_3_bevétel_2013!E42</f>
        <v>0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</row>
    <row r="46" spans="1:5" ht="30.75" customHeight="1">
      <c r="A46" s="451">
        <v>36</v>
      </c>
      <c r="B46" s="452" t="s">
        <v>377</v>
      </c>
      <c r="C46" s="471">
        <f>SUM(C35:C45)-C39-C43</f>
        <v>13898337</v>
      </c>
      <c r="D46" s="471">
        <f>SUM(D35:D45)-D39-D43</f>
        <v>14056452.984000001</v>
      </c>
      <c r="E46" s="553">
        <f>SUM(E35:E45)-E39-E43</f>
        <v>14611176.241999999</v>
      </c>
    </row>
    <row r="47" spans="1:5" ht="15.75" customHeight="1">
      <c r="A47" s="453">
        <v>37</v>
      </c>
      <c r="B47" s="454" t="s">
        <v>426</v>
      </c>
      <c r="C47" s="472"/>
      <c r="D47" s="472"/>
      <c r="E47" s="473"/>
    </row>
    <row r="48" spans="1:5" ht="15.75" customHeight="1">
      <c r="A48" s="453">
        <v>38</v>
      </c>
      <c r="B48" s="454" t="s">
        <v>427</v>
      </c>
      <c r="C48" s="472"/>
      <c r="D48" s="472"/>
      <c r="E48" s="473"/>
    </row>
    <row r="49" spans="1:5" ht="15.75" customHeight="1">
      <c r="A49" s="453">
        <v>39</v>
      </c>
      <c r="B49" s="454" t="s">
        <v>1246</v>
      </c>
      <c r="C49" s="472"/>
      <c r="D49" s="472"/>
      <c r="E49" s="473"/>
    </row>
    <row r="50" spans="1:5" ht="15.75" customHeight="1">
      <c r="A50" s="453">
        <v>40</v>
      </c>
      <c r="B50" s="454" t="s">
        <v>429</v>
      </c>
      <c r="C50" s="472"/>
      <c r="D50" s="472"/>
      <c r="E50" s="473"/>
    </row>
    <row r="51" spans="1:5" ht="15.75" customHeight="1">
      <c r="A51" s="453">
        <v>41</v>
      </c>
      <c r="B51" s="454" t="s">
        <v>430</v>
      </c>
      <c r="C51" s="472"/>
      <c r="D51" s="472"/>
      <c r="E51" s="473"/>
    </row>
    <row r="52" spans="1:5" ht="15.75" customHeight="1">
      <c r="A52" s="436">
        <v>42</v>
      </c>
      <c r="B52" s="440" t="s">
        <v>1134</v>
      </c>
      <c r="C52" s="474">
        <f>SUM(C47:C51)</f>
        <v>0</v>
      </c>
      <c r="D52" s="474">
        <f>SUM(D47:D51)</f>
        <v>0</v>
      </c>
      <c r="E52" s="554">
        <f>SUM(E47:E51)</f>
        <v>0</v>
      </c>
    </row>
    <row r="53" spans="1:5" ht="15.75" customHeight="1">
      <c r="A53" s="436">
        <v>43</v>
      </c>
      <c r="B53" s="440" t="s">
        <v>1135</v>
      </c>
      <c r="C53" s="474">
        <f>C46+C52</f>
        <v>13898337</v>
      </c>
      <c r="D53" s="474">
        <f>D46+D52</f>
        <v>14056452.984000001</v>
      </c>
      <c r="E53" s="554">
        <f>E46+E52</f>
        <v>14611176.241999999</v>
      </c>
    </row>
    <row r="54" spans="1:5" ht="15.75" customHeight="1">
      <c r="A54" s="434">
        <v>44</v>
      </c>
      <c r="B54" s="455" t="s">
        <v>886</v>
      </c>
      <c r="C54" s="461">
        <f>T_3_bevétel_2013!C92</f>
        <v>850000</v>
      </c>
      <c r="D54" s="461">
        <f>T_3_bevétel_2013!D92</f>
        <v>4943491</v>
      </c>
      <c r="E54" s="462">
        <f>T_3_bevétel_2013!E92</f>
        <v>2140314.926</v>
      </c>
    </row>
    <row r="55" spans="1:45" ht="15.75" customHeight="1" thickBot="1">
      <c r="A55" s="434">
        <v>45</v>
      </c>
      <c r="B55" s="455" t="s">
        <v>431</v>
      </c>
      <c r="C55" s="467"/>
      <c r="D55" s="461"/>
      <c r="E55" s="462">
        <f>T_3_bevétel_2013!E93</f>
        <v>-75850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</row>
    <row r="56" spans="1:5" ht="15.75" customHeight="1">
      <c r="A56" s="436">
        <v>46</v>
      </c>
      <c r="B56" s="456" t="s">
        <v>378</v>
      </c>
      <c r="C56" s="463">
        <f>SUM(C53:C55)</f>
        <v>14748337</v>
      </c>
      <c r="D56" s="463">
        <f>SUM(D53:D55)</f>
        <v>18999943.984</v>
      </c>
      <c r="E56" s="464">
        <f>SUM(E53:E55)</f>
        <v>16675641.167999998</v>
      </c>
    </row>
    <row r="57" spans="1:5" ht="31.5" customHeight="1">
      <c r="A57" s="436">
        <v>47</v>
      </c>
      <c r="B57" s="452" t="s">
        <v>1</v>
      </c>
      <c r="C57" s="471">
        <f>C46-C23</f>
        <v>984072</v>
      </c>
      <c r="D57" s="471">
        <f>D46-D23</f>
        <v>-2292281.9619999975</v>
      </c>
      <c r="E57" s="553">
        <f>E46-E23</f>
        <v>852217.981999997</v>
      </c>
    </row>
    <row r="58" spans="1:5" ht="45" customHeight="1">
      <c r="A58" s="436">
        <v>48</v>
      </c>
      <c r="B58" s="452" t="s">
        <v>382</v>
      </c>
      <c r="C58" s="471">
        <f>C57+C54-C32</f>
        <v>86897</v>
      </c>
      <c r="D58" s="471">
        <f>D57+D54-D32</f>
        <v>878793.0380000025</v>
      </c>
      <c r="E58" s="553">
        <f>E57+E54-E32</f>
        <v>2992532.907999997</v>
      </c>
    </row>
    <row r="59" spans="1:5" ht="15.75" customHeight="1">
      <c r="A59" s="436">
        <v>49</v>
      </c>
      <c r="B59" s="456" t="s">
        <v>379</v>
      </c>
      <c r="C59" s="463">
        <f>C52-C30</f>
        <v>-86897</v>
      </c>
      <c r="D59" s="463">
        <f>D52-D30</f>
        <v>-878793</v>
      </c>
      <c r="E59" s="464">
        <f>E52-E30</f>
        <v>-878784</v>
      </c>
    </row>
    <row r="60" spans="1:5" ht="15.75" customHeight="1" thickBot="1">
      <c r="A60" s="1944">
        <v>50</v>
      </c>
      <c r="B60" s="457" t="s">
        <v>380</v>
      </c>
      <c r="C60" s="475">
        <f>C55-C33</f>
        <v>0</v>
      </c>
      <c r="D60" s="475">
        <f>D55-D33</f>
        <v>0</v>
      </c>
      <c r="E60" s="1990">
        <f>E55-E33</f>
        <v>12348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</sheetData>
  <sheetProtection/>
  <mergeCells count="6">
    <mergeCell ref="A5:E5"/>
    <mergeCell ref="A7:E7"/>
    <mergeCell ref="C10:D10"/>
    <mergeCell ref="B9:B10"/>
    <mergeCell ref="E9:E10"/>
    <mergeCell ref="A6:E6"/>
  </mergeCells>
  <printOptions horizontalCentered="1" verticalCentered="1"/>
  <pageMargins left="0" right="0" top="0.3937007874015748" bottom="0.31" header="0.11811023622047245" footer="0.11811023622047245"/>
  <pageSetup horizontalDpi="300" verticalDpi="300" orientation="portrait" paperSize="9" scale="84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00390625" style="191" customWidth="1"/>
    <col min="2" max="2" width="48.75390625" style="191" customWidth="1"/>
    <col min="3" max="3" width="11.75390625" style="191" customWidth="1"/>
    <col min="4" max="4" width="11.375" style="191" customWidth="1"/>
    <col min="5" max="5" width="10.375" style="191" customWidth="1"/>
    <col min="6" max="6" width="10.875" style="191" customWidth="1"/>
    <col min="7" max="16384" width="9.125" style="191" customWidth="1"/>
  </cols>
  <sheetData>
    <row r="1" spans="2:6" ht="12.75">
      <c r="B1" s="58"/>
      <c r="C1" s="58"/>
      <c r="D1" s="58"/>
      <c r="E1" s="58"/>
      <c r="F1" s="335" t="s">
        <v>1274</v>
      </c>
    </row>
    <row r="2" spans="2:6" ht="12.75">
      <c r="B2" s="58"/>
      <c r="C2" s="58"/>
      <c r="D2" s="58"/>
      <c r="E2" s="58"/>
      <c r="F2" s="335" t="s">
        <v>71</v>
      </c>
    </row>
    <row r="3" spans="2:5" ht="12.75">
      <c r="B3" s="58"/>
      <c r="C3" s="58"/>
      <c r="D3" s="58"/>
      <c r="E3" s="58"/>
    </row>
    <row r="4" spans="2:6" ht="12.75">
      <c r="B4" s="58"/>
      <c r="C4" s="58"/>
      <c r="D4" s="58"/>
      <c r="E4" s="58"/>
      <c r="F4" s="58"/>
    </row>
    <row r="5" spans="2:6" ht="12.75">
      <c r="B5" s="58"/>
      <c r="C5" s="58"/>
      <c r="D5" s="58"/>
      <c r="E5" s="58"/>
      <c r="F5" s="58"/>
    </row>
    <row r="6" spans="2:6" ht="12.75">
      <c r="B6" s="2327" t="s">
        <v>1252</v>
      </c>
      <c r="C6" s="2327"/>
      <c r="D6" s="2327"/>
      <c r="E6" s="2327"/>
      <c r="F6" s="2327"/>
    </row>
    <row r="7" spans="2:6" ht="12.75">
      <c r="B7" s="2328" t="s">
        <v>72</v>
      </c>
      <c r="C7" s="2328"/>
      <c r="D7" s="2328"/>
      <c r="E7" s="2328"/>
      <c r="F7" s="2328"/>
    </row>
    <row r="8" spans="2:6" ht="12.75">
      <c r="B8" s="33"/>
      <c r="C8" s="33"/>
      <c r="D8" s="33"/>
      <c r="E8" s="33"/>
      <c r="F8" s="33"/>
    </row>
    <row r="9" spans="2:6" ht="13.5" thickBot="1">
      <c r="B9" s="192"/>
      <c r="C9" s="192"/>
      <c r="D9" s="192"/>
      <c r="E9" s="192"/>
      <c r="F9" s="192"/>
    </row>
    <row r="10" spans="1:6" ht="12.75">
      <c r="A10" s="477"/>
      <c r="B10" s="2329" t="s">
        <v>41</v>
      </c>
      <c r="C10" s="2171" t="s">
        <v>313</v>
      </c>
      <c r="D10" s="2171"/>
      <c r="E10" s="2171" t="s">
        <v>531</v>
      </c>
      <c r="F10" s="166" t="s">
        <v>465</v>
      </c>
    </row>
    <row r="11" spans="1:6" ht="12.75">
      <c r="A11" s="478"/>
      <c r="B11" s="2330"/>
      <c r="C11" s="167" t="s">
        <v>532</v>
      </c>
      <c r="D11" s="167" t="s">
        <v>533</v>
      </c>
      <c r="E11" s="167" t="s">
        <v>503</v>
      </c>
      <c r="F11" s="169" t="s">
        <v>532</v>
      </c>
    </row>
    <row r="12" spans="1:6" ht="12.75">
      <c r="A12" s="29" t="s">
        <v>315</v>
      </c>
      <c r="B12" s="2330"/>
      <c r="C12" s="167" t="s">
        <v>534</v>
      </c>
      <c r="D12" s="167" t="s">
        <v>535</v>
      </c>
      <c r="E12" s="167" t="s">
        <v>536</v>
      </c>
      <c r="F12" s="169" t="s">
        <v>534</v>
      </c>
    </row>
    <row r="13" spans="1:6" ht="12.75">
      <c r="A13" s="29" t="s">
        <v>316</v>
      </c>
      <c r="B13" s="2330"/>
      <c r="C13" s="167" t="s">
        <v>537</v>
      </c>
      <c r="D13" s="167" t="s">
        <v>514</v>
      </c>
      <c r="E13" s="167" t="s">
        <v>538</v>
      </c>
      <c r="F13" s="169" t="s">
        <v>537</v>
      </c>
    </row>
    <row r="14" spans="1:6" ht="12.75">
      <c r="A14" s="478"/>
      <c r="B14" s="2330"/>
      <c r="C14" s="167" t="s">
        <v>517</v>
      </c>
      <c r="D14" s="167" t="s">
        <v>73</v>
      </c>
      <c r="E14" s="167" t="s">
        <v>537</v>
      </c>
      <c r="F14" s="169" t="s">
        <v>517</v>
      </c>
    </row>
    <row r="15" spans="1:6" ht="12.75">
      <c r="A15" s="479"/>
      <c r="B15" s="2331"/>
      <c r="C15" s="194"/>
      <c r="D15" s="194"/>
      <c r="E15" s="170" t="s">
        <v>517</v>
      </c>
      <c r="F15" s="2172"/>
    </row>
    <row r="16" spans="1:6" ht="24.75" customHeight="1">
      <c r="A16" s="480" t="s">
        <v>482</v>
      </c>
      <c r="B16" s="481" t="s">
        <v>1035</v>
      </c>
      <c r="C16" s="482">
        <v>4856650</v>
      </c>
      <c r="D16" s="482"/>
      <c r="E16" s="482">
        <f aca="true" t="shared" si="0" ref="E16:E27">SUM(C16:D16)</f>
        <v>4856650</v>
      </c>
      <c r="F16" s="483">
        <v>4831588</v>
      </c>
    </row>
    <row r="17" spans="1:6" ht="24.75" customHeight="1">
      <c r="A17" s="480" t="s">
        <v>155</v>
      </c>
      <c r="B17" s="487" t="s">
        <v>439</v>
      </c>
      <c r="C17" s="485">
        <v>0</v>
      </c>
      <c r="D17" s="485"/>
      <c r="E17" s="482">
        <f t="shared" si="0"/>
        <v>0</v>
      </c>
      <c r="F17" s="486">
        <v>0</v>
      </c>
    </row>
    <row r="18" spans="1:6" ht="24.75" customHeight="1">
      <c r="A18" s="480" t="s">
        <v>156</v>
      </c>
      <c r="B18" s="484" t="s">
        <v>74</v>
      </c>
      <c r="C18" s="485">
        <v>86841</v>
      </c>
      <c r="D18" s="485"/>
      <c r="E18" s="485">
        <f t="shared" si="0"/>
        <v>86841</v>
      </c>
      <c r="F18" s="486">
        <v>115957</v>
      </c>
    </row>
    <row r="19" spans="1:6" ht="24.75" customHeight="1">
      <c r="A19" s="480" t="s">
        <v>157</v>
      </c>
      <c r="B19" s="487" t="s">
        <v>75</v>
      </c>
      <c r="C19" s="485">
        <v>0</v>
      </c>
      <c r="D19" s="485"/>
      <c r="E19" s="485">
        <f t="shared" si="0"/>
        <v>0</v>
      </c>
      <c r="F19" s="486">
        <v>2803833</v>
      </c>
    </row>
    <row r="20" spans="1:6" ht="24.75" customHeight="1">
      <c r="A20" s="480" t="s">
        <v>158</v>
      </c>
      <c r="B20" s="484" t="s">
        <v>440</v>
      </c>
      <c r="C20" s="485">
        <v>0</v>
      </c>
      <c r="D20" s="485"/>
      <c r="E20" s="485">
        <f t="shared" si="0"/>
        <v>0</v>
      </c>
      <c r="F20" s="486">
        <v>0</v>
      </c>
    </row>
    <row r="21" spans="1:6" ht="24.75" customHeight="1">
      <c r="A21" s="480" t="s">
        <v>159</v>
      </c>
      <c r="B21" s="487" t="s">
        <v>441</v>
      </c>
      <c r="C21" s="641">
        <f>C16+C17+C18-C19-C20</f>
        <v>4943491</v>
      </c>
      <c r="D21" s="641"/>
      <c r="E21" s="641">
        <f>E16+E17+E18-E19-E20</f>
        <v>4943491</v>
      </c>
      <c r="F21" s="2173">
        <f>F16+F17+F18-F19-F20</f>
        <v>2143712</v>
      </c>
    </row>
    <row r="22" spans="1:6" ht="24.75" customHeight="1">
      <c r="A22" s="480" t="s">
        <v>160</v>
      </c>
      <c r="B22" s="487" t="s">
        <v>442</v>
      </c>
      <c r="C22" s="485">
        <v>15606</v>
      </c>
      <c r="D22" s="485"/>
      <c r="E22" s="485">
        <f t="shared" si="0"/>
        <v>15606</v>
      </c>
      <c r="F22" s="486">
        <v>5473</v>
      </c>
    </row>
    <row r="23" spans="1:6" ht="24.75" customHeight="1">
      <c r="A23" s="480" t="s">
        <v>161</v>
      </c>
      <c r="B23" s="487" t="s">
        <v>85</v>
      </c>
      <c r="C23" s="485">
        <v>0</v>
      </c>
      <c r="D23" s="485"/>
      <c r="E23" s="485">
        <f t="shared" si="0"/>
        <v>0</v>
      </c>
      <c r="F23" s="486">
        <v>0</v>
      </c>
    </row>
    <row r="24" spans="1:6" ht="24.75" customHeight="1">
      <c r="A24" s="480" t="s">
        <v>162</v>
      </c>
      <c r="B24" s="487" t="s">
        <v>443</v>
      </c>
      <c r="C24" s="485">
        <f>C21+C22+C23</f>
        <v>4959097</v>
      </c>
      <c r="D24" s="485"/>
      <c r="E24" s="485">
        <f t="shared" si="0"/>
        <v>4959097</v>
      </c>
      <c r="F24" s="486">
        <f>F21+F22+F23</f>
        <v>2149185</v>
      </c>
    </row>
    <row r="25" spans="1:6" ht="24.75" customHeight="1">
      <c r="A25" s="480" t="s">
        <v>163</v>
      </c>
      <c r="B25" s="484" t="s">
        <v>1247</v>
      </c>
      <c r="C25" s="485">
        <v>0</v>
      </c>
      <c r="D25" s="485"/>
      <c r="E25" s="485">
        <f t="shared" si="0"/>
        <v>0</v>
      </c>
      <c r="F25" s="486">
        <v>0</v>
      </c>
    </row>
    <row r="26" spans="1:6" ht="24.75" customHeight="1">
      <c r="A26" s="480" t="s">
        <v>164</v>
      </c>
      <c r="B26" s="484" t="s">
        <v>913</v>
      </c>
      <c r="C26" s="485">
        <v>0</v>
      </c>
      <c r="D26" s="485"/>
      <c r="E26" s="485">
        <f t="shared" si="0"/>
        <v>0</v>
      </c>
      <c r="F26" s="486">
        <v>0</v>
      </c>
    </row>
    <row r="27" spans="1:6" ht="24.75" customHeight="1">
      <c r="A27" s="480" t="s">
        <v>165</v>
      </c>
      <c r="B27" s="488" t="s">
        <v>444</v>
      </c>
      <c r="C27" s="489">
        <f>C21+C22+C23+C25+C26</f>
        <v>4959097</v>
      </c>
      <c r="D27" s="489"/>
      <c r="E27" s="489">
        <f t="shared" si="0"/>
        <v>4959097</v>
      </c>
      <c r="F27" s="490">
        <f>F21+F22+F23+F25+F26</f>
        <v>2149185</v>
      </c>
    </row>
    <row r="28" spans="1:6" ht="19.5" customHeight="1">
      <c r="A28" s="491" t="s">
        <v>166</v>
      </c>
      <c r="B28" s="492" t="s">
        <v>445</v>
      </c>
      <c r="C28" s="415"/>
      <c r="D28" s="415"/>
      <c r="E28" s="415"/>
      <c r="F28" s="493"/>
    </row>
    <row r="29" spans="1:6" ht="17.25" customHeight="1">
      <c r="A29" s="494"/>
      <c r="B29" s="495" t="s">
        <v>914</v>
      </c>
      <c r="C29" s="485">
        <v>0</v>
      </c>
      <c r="D29" s="485"/>
      <c r="E29" s="485">
        <f>SUM(C29:D29)</f>
        <v>0</v>
      </c>
      <c r="F29" s="486">
        <v>0</v>
      </c>
    </row>
    <row r="30" spans="1:7" ht="24.75" customHeight="1">
      <c r="A30" s="480" t="s">
        <v>446</v>
      </c>
      <c r="B30" s="496" t="s">
        <v>447</v>
      </c>
      <c r="C30" s="547">
        <v>4795907</v>
      </c>
      <c r="D30" s="482"/>
      <c r="E30" s="482">
        <f>SUM(C30:D30)</f>
        <v>4795907</v>
      </c>
      <c r="F30" s="483">
        <v>1082035</v>
      </c>
      <c r="G30" s="534"/>
    </row>
    <row r="31" spans="1:7" ht="24.75" customHeight="1" thickBot="1">
      <c r="A31" s="497" t="s">
        <v>448</v>
      </c>
      <c r="B31" s="498" t="s">
        <v>915</v>
      </c>
      <c r="C31" s="548">
        <v>186576</v>
      </c>
      <c r="D31" s="499"/>
      <c r="E31" s="499">
        <f>SUM(C31:D31)</f>
        <v>186576</v>
      </c>
      <c r="F31" s="500">
        <v>1067150</v>
      </c>
      <c r="G31" s="534"/>
    </row>
    <row r="32" spans="2:6" ht="12.75">
      <c r="B32" s="58"/>
      <c r="C32" s="58"/>
      <c r="D32" s="58"/>
      <c r="E32" s="58"/>
      <c r="F32" s="58"/>
    </row>
    <row r="33" spans="2:6" ht="12.75">
      <c r="B33" s="777" t="s">
        <v>65</v>
      </c>
      <c r="C33" s="777"/>
      <c r="D33" s="58"/>
      <c r="E33" s="58"/>
      <c r="F33" s="58"/>
    </row>
    <row r="34" spans="2:6" ht="12.75">
      <c r="B34" s="777"/>
      <c r="C34" s="777"/>
      <c r="D34" s="58"/>
      <c r="E34" s="58"/>
      <c r="F34" s="58"/>
    </row>
    <row r="35" spans="2:6" ht="12.75">
      <c r="B35" s="16"/>
      <c r="C35" s="16"/>
      <c r="D35" s="16"/>
      <c r="E35" s="16"/>
      <c r="F35" s="16"/>
    </row>
  </sheetData>
  <sheetProtection/>
  <mergeCells count="3">
    <mergeCell ref="B6:F6"/>
    <mergeCell ref="B7:F7"/>
    <mergeCell ref="B10:B1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375" style="158" customWidth="1"/>
    <col min="2" max="2" width="30.75390625" style="158" customWidth="1"/>
    <col min="3" max="8" width="12.75390625" style="158" customWidth="1"/>
    <col min="9" max="27" width="9.125" style="196" customWidth="1"/>
    <col min="28" max="16384" width="9.125" style="158" customWidth="1"/>
  </cols>
  <sheetData>
    <row r="1" spans="6:8" ht="12.75">
      <c r="F1" s="195"/>
      <c r="G1" s="195"/>
      <c r="H1" s="335" t="s">
        <v>1275</v>
      </c>
    </row>
    <row r="2" spans="6:8" ht="12.75">
      <c r="F2" s="193"/>
      <c r="G2" s="193"/>
      <c r="H2" s="335" t="s">
        <v>71</v>
      </c>
    </row>
    <row r="3" ht="30.75" customHeight="1"/>
    <row r="4" spans="1:9" ht="12.75">
      <c r="A4" s="193"/>
      <c r="B4" s="193"/>
      <c r="C4" s="193"/>
      <c r="D4" s="193"/>
      <c r="E4" s="193"/>
      <c r="H4" s="195"/>
      <c r="I4" s="197"/>
    </row>
    <row r="5" spans="1:9" ht="15.75">
      <c r="A5" s="2326" t="s">
        <v>1253</v>
      </c>
      <c r="B5" s="2326"/>
      <c r="C5" s="2326"/>
      <c r="D5" s="2326"/>
      <c r="E5" s="2326"/>
      <c r="F5" s="2326"/>
      <c r="G5" s="2326"/>
      <c r="H5" s="2326"/>
      <c r="I5" s="198"/>
    </row>
    <row r="6" spans="1:9" ht="11.25" customHeight="1">
      <c r="A6" s="2319" t="s">
        <v>72</v>
      </c>
      <c r="B6" s="2319"/>
      <c r="C6" s="2319"/>
      <c r="D6" s="2319"/>
      <c r="E6" s="2319"/>
      <c r="F6" s="2319"/>
      <c r="G6" s="2319"/>
      <c r="H6" s="2319"/>
      <c r="I6" s="199"/>
    </row>
    <row r="7" spans="1:9" ht="11.25" customHeight="1">
      <c r="A7" s="476"/>
      <c r="B7" s="476"/>
      <c r="C7" s="476"/>
      <c r="D7" s="476"/>
      <c r="E7" s="476"/>
      <c r="F7" s="476"/>
      <c r="G7" s="476"/>
      <c r="H7" s="476"/>
      <c r="I7" s="199"/>
    </row>
    <row r="8" spans="1:8" ht="30.75" customHeight="1" thickBot="1">
      <c r="A8" s="193"/>
      <c r="B8" s="193"/>
      <c r="C8" s="193"/>
      <c r="D8" s="193"/>
      <c r="E8" s="193"/>
      <c r="F8" s="193"/>
      <c r="G8" s="193"/>
      <c r="H8" s="193"/>
    </row>
    <row r="9" spans="1:8" ht="12.75" customHeight="1">
      <c r="A9" s="200"/>
      <c r="B9" s="201"/>
      <c r="C9" s="202"/>
      <c r="D9" s="501"/>
      <c r="E9" s="201"/>
      <c r="F9" s="202"/>
      <c r="G9" s="202"/>
      <c r="H9" s="203"/>
    </row>
    <row r="10" spans="1:8" ht="12.75">
      <c r="A10" s="204" t="s">
        <v>530</v>
      </c>
      <c r="B10" s="205" t="s">
        <v>41</v>
      </c>
      <c r="C10" s="206" t="s">
        <v>885</v>
      </c>
      <c r="D10" s="206" t="s">
        <v>1148</v>
      </c>
      <c r="E10" s="207" t="s">
        <v>543</v>
      </c>
      <c r="F10" s="208" t="s">
        <v>880</v>
      </c>
      <c r="G10" s="208" t="s">
        <v>882</v>
      </c>
      <c r="H10" s="209" t="s">
        <v>544</v>
      </c>
    </row>
    <row r="11" spans="1:8" ht="12.75">
      <c r="A11" s="204"/>
      <c r="B11" s="205"/>
      <c r="C11" s="206" t="s">
        <v>884</v>
      </c>
      <c r="D11" s="206" t="s">
        <v>1149</v>
      </c>
      <c r="E11" s="207" t="s">
        <v>879</v>
      </c>
      <c r="F11" s="208" t="s">
        <v>881</v>
      </c>
      <c r="G11" s="208" t="s">
        <v>883</v>
      </c>
      <c r="H11" s="209" t="s">
        <v>1022</v>
      </c>
    </row>
    <row r="12" spans="1:8" ht="12.75">
      <c r="A12" s="211"/>
      <c r="B12" s="212"/>
      <c r="C12" s="213" t="s">
        <v>545</v>
      </c>
      <c r="D12" s="206" t="s">
        <v>1150</v>
      </c>
      <c r="E12" s="215"/>
      <c r="F12" s="216"/>
      <c r="G12" s="216" t="s">
        <v>231</v>
      </c>
      <c r="H12" s="217"/>
    </row>
    <row r="13" spans="1:9" ht="12.75">
      <c r="A13" s="218">
        <v>1</v>
      </c>
      <c r="B13" s="219">
        <v>2</v>
      </c>
      <c r="C13" s="1247">
        <v>3</v>
      </c>
      <c r="D13" s="1247">
        <v>4</v>
      </c>
      <c r="E13" s="1248">
        <v>5</v>
      </c>
      <c r="F13" s="1248">
        <v>6</v>
      </c>
      <c r="G13" s="1249">
        <v>7</v>
      </c>
      <c r="H13" s="220">
        <v>8</v>
      </c>
      <c r="I13" s="221"/>
    </row>
    <row r="14" spans="1:9" ht="24.75" customHeight="1">
      <c r="A14" s="502">
        <v>1</v>
      </c>
      <c r="B14" s="503" t="s">
        <v>916</v>
      </c>
      <c r="C14" s="504">
        <v>4396</v>
      </c>
      <c r="D14" s="504">
        <v>31029</v>
      </c>
      <c r="E14" s="505">
        <f aca="true" t="shared" si="0" ref="E14:E35">SUM(C14:D14)</f>
        <v>35425</v>
      </c>
      <c r="F14" s="532">
        <v>4571001</v>
      </c>
      <c r="G14" s="1214">
        <v>223871</v>
      </c>
      <c r="H14" s="506">
        <f>SUM(E14:G14)</f>
        <v>4830297</v>
      </c>
      <c r="I14" s="222"/>
    </row>
    <row r="15" spans="1:9" ht="24.75" customHeight="1">
      <c r="A15" s="502">
        <v>2</v>
      </c>
      <c r="B15" s="507" t="s">
        <v>917</v>
      </c>
      <c r="C15" s="504">
        <v>702</v>
      </c>
      <c r="D15" s="504">
        <f>'pm.ÖM'!U17</f>
        <v>0</v>
      </c>
      <c r="E15" s="505">
        <f t="shared" si="0"/>
        <v>702</v>
      </c>
      <c r="F15" s="532">
        <v>95</v>
      </c>
      <c r="G15" s="1214">
        <v>494</v>
      </c>
      <c r="H15" s="506">
        <f>SUM(E15:G15)</f>
        <v>1291</v>
      </c>
      <c r="I15" s="222"/>
    </row>
    <row r="16" spans="1:9" ht="24.75" customHeight="1">
      <c r="A16" s="508">
        <v>3</v>
      </c>
      <c r="B16" s="509" t="s">
        <v>918</v>
      </c>
      <c r="C16" s="510">
        <f>SUM(C14:C15)</f>
        <v>5098</v>
      </c>
      <c r="D16" s="510">
        <f>SUM(D14:D15)</f>
        <v>31029</v>
      </c>
      <c r="E16" s="505">
        <f t="shared" si="0"/>
        <v>36127</v>
      </c>
      <c r="F16" s="505">
        <f>SUM(F14:F15)</f>
        <v>4571096</v>
      </c>
      <c r="G16" s="505">
        <f>SUM(G14:G15)</f>
        <v>224365</v>
      </c>
      <c r="H16" s="506">
        <f>SUM(E16:G16)</f>
        <v>4831588</v>
      </c>
      <c r="I16" s="222"/>
    </row>
    <row r="17" spans="1:9" ht="24.75" customHeight="1">
      <c r="A17" s="502">
        <v>4</v>
      </c>
      <c r="B17" s="507" t="s">
        <v>919</v>
      </c>
      <c r="C17" s="504"/>
      <c r="D17" s="504"/>
      <c r="E17" s="511">
        <f t="shared" si="0"/>
        <v>0</v>
      </c>
      <c r="F17" s="532"/>
      <c r="G17" s="1214"/>
      <c r="H17" s="506">
        <f aca="true" t="shared" si="1" ref="H17:H38">SUM(E17:G17)</f>
        <v>0</v>
      </c>
      <c r="I17" s="222"/>
    </row>
    <row r="18" spans="1:9" ht="24.75" customHeight="1">
      <c r="A18" s="502">
        <v>5</v>
      </c>
      <c r="B18" s="507" t="s">
        <v>920</v>
      </c>
      <c r="C18" s="504"/>
      <c r="D18" s="504"/>
      <c r="E18" s="511">
        <f t="shared" si="0"/>
        <v>0</v>
      </c>
      <c r="F18" s="1215"/>
      <c r="G18" s="1216"/>
      <c r="H18" s="506">
        <f t="shared" si="1"/>
        <v>0</v>
      </c>
      <c r="I18" s="222"/>
    </row>
    <row r="19" spans="1:9" ht="24.75" customHeight="1">
      <c r="A19" s="502">
        <v>6</v>
      </c>
      <c r="B19" s="507" t="s">
        <v>921</v>
      </c>
      <c r="C19" s="504">
        <v>16017</v>
      </c>
      <c r="D19" s="504">
        <v>2085</v>
      </c>
      <c r="E19" s="511">
        <f t="shared" si="0"/>
        <v>18102</v>
      </c>
      <c r="F19" s="1217">
        <v>17765</v>
      </c>
      <c r="G19" s="1216">
        <v>74049</v>
      </c>
      <c r="H19" s="506">
        <f t="shared" si="1"/>
        <v>109916</v>
      </c>
      <c r="I19" s="222"/>
    </row>
    <row r="20" spans="1:9" ht="24.75" customHeight="1">
      <c r="A20" s="502">
        <v>7</v>
      </c>
      <c r="B20" s="507" t="s">
        <v>934</v>
      </c>
      <c r="C20" s="504"/>
      <c r="D20" s="504"/>
      <c r="E20" s="511">
        <f t="shared" si="0"/>
        <v>0</v>
      </c>
      <c r="F20" s="1217">
        <v>687</v>
      </c>
      <c r="G20" s="1216"/>
      <c r="H20" s="506">
        <f t="shared" si="1"/>
        <v>687</v>
      </c>
      <c r="I20" s="222"/>
    </row>
    <row r="21" spans="1:9" ht="24.75" customHeight="1">
      <c r="A21" s="502">
        <v>8</v>
      </c>
      <c r="B21" s="507" t="s">
        <v>935</v>
      </c>
      <c r="C21" s="504">
        <v>100</v>
      </c>
      <c r="D21" s="504">
        <v>7501</v>
      </c>
      <c r="E21" s="505">
        <f t="shared" si="0"/>
        <v>7601</v>
      </c>
      <c r="F21" s="1217">
        <v>0</v>
      </c>
      <c r="G21" s="1216"/>
      <c r="H21" s="506">
        <f t="shared" si="1"/>
        <v>7601</v>
      </c>
      <c r="I21" s="222"/>
    </row>
    <row r="22" spans="1:9" ht="24.75" customHeight="1">
      <c r="A22" s="502">
        <v>9</v>
      </c>
      <c r="B22" s="507" t="s">
        <v>936</v>
      </c>
      <c r="C22" s="504">
        <v>598</v>
      </c>
      <c r="D22" s="504"/>
      <c r="E22" s="505">
        <f t="shared" si="0"/>
        <v>598</v>
      </c>
      <c r="F22" s="1217">
        <v>275</v>
      </c>
      <c r="G22" s="1216">
        <v>0</v>
      </c>
      <c r="H22" s="781">
        <f t="shared" si="1"/>
        <v>873</v>
      </c>
      <c r="I22" s="222"/>
    </row>
    <row r="23" spans="1:9" ht="24.75" customHeight="1">
      <c r="A23" s="513">
        <v>10</v>
      </c>
      <c r="B23" s="514" t="s">
        <v>937</v>
      </c>
      <c r="C23" s="510">
        <f>SUM(C17-C18+C19-C20+C21-C22)</f>
        <v>15519</v>
      </c>
      <c r="D23" s="510">
        <f>SUM(D17-D18+D19-D20+D21-D22)</f>
        <v>9586</v>
      </c>
      <c r="E23" s="505">
        <f t="shared" si="0"/>
        <v>25105</v>
      </c>
      <c r="F23" s="505">
        <f>SUM(F17-F18+F19-F20+F21-F22)</f>
        <v>16803</v>
      </c>
      <c r="G23" s="505">
        <f>SUM(G17-G18+G19-G20+G21-G22)</f>
        <v>74049</v>
      </c>
      <c r="H23" s="506">
        <f t="shared" si="1"/>
        <v>115957</v>
      </c>
      <c r="I23" s="222"/>
    </row>
    <row r="24" spans="1:9" ht="24.75" customHeight="1">
      <c r="A24" s="502">
        <v>11</v>
      </c>
      <c r="B24" s="507" t="s">
        <v>938</v>
      </c>
      <c r="C24" s="504">
        <v>3574</v>
      </c>
      <c r="D24" s="504">
        <v>1218</v>
      </c>
      <c r="E24" s="511">
        <f t="shared" si="0"/>
        <v>4792</v>
      </c>
      <c r="F24" s="515">
        <v>2773046</v>
      </c>
      <c r="G24" s="515">
        <v>25995</v>
      </c>
      <c r="H24" s="506">
        <f t="shared" si="1"/>
        <v>2803833</v>
      </c>
      <c r="I24" s="221"/>
    </row>
    <row r="25" spans="1:9" ht="24.75" customHeight="1">
      <c r="A25" s="502">
        <v>12</v>
      </c>
      <c r="B25" s="507" t="s">
        <v>939</v>
      </c>
      <c r="C25" s="504"/>
      <c r="D25" s="504"/>
      <c r="E25" s="505">
        <f t="shared" si="0"/>
        <v>0</v>
      </c>
      <c r="F25" s="515"/>
      <c r="G25" s="515"/>
      <c r="H25" s="506">
        <f t="shared" si="1"/>
        <v>0</v>
      </c>
      <c r="I25" s="221"/>
    </row>
    <row r="26" spans="1:9" ht="24.75" customHeight="1">
      <c r="A26" s="513">
        <v>13</v>
      </c>
      <c r="B26" s="516" t="s">
        <v>940</v>
      </c>
      <c r="C26" s="510">
        <f>SUM(C16+C23-C24-C25)</f>
        <v>17043</v>
      </c>
      <c r="D26" s="510">
        <f>SUM(D16+D23-D24-D25)</f>
        <v>39397</v>
      </c>
      <c r="E26" s="505">
        <f t="shared" si="0"/>
        <v>56440</v>
      </c>
      <c r="F26" s="505">
        <f>SUM(F16+F23-F24-F25)</f>
        <v>1814853</v>
      </c>
      <c r="G26" s="505">
        <f>SUM(G16+G23-G24-G25)</f>
        <v>272419</v>
      </c>
      <c r="H26" s="506">
        <f t="shared" si="1"/>
        <v>2143712</v>
      </c>
      <c r="I26" s="223"/>
    </row>
    <row r="27" spans="1:9" ht="24.75" customHeight="1">
      <c r="A27" s="502">
        <v>14</v>
      </c>
      <c r="B27" s="507" t="s">
        <v>941</v>
      </c>
      <c r="C27" s="504"/>
      <c r="D27" s="504"/>
      <c r="E27" s="505">
        <f t="shared" si="0"/>
        <v>0</v>
      </c>
      <c r="F27" s="1214">
        <v>0</v>
      </c>
      <c r="G27" s="1214"/>
      <c r="H27" s="506">
        <f t="shared" si="1"/>
        <v>0</v>
      </c>
      <c r="I27" s="221"/>
    </row>
    <row r="28" spans="1:44" ht="24.75" customHeight="1">
      <c r="A28" s="502">
        <v>15</v>
      </c>
      <c r="B28" s="507" t="s">
        <v>942</v>
      </c>
      <c r="C28" s="504"/>
      <c r="D28" s="504"/>
      <c r="E28" s="511">
        <f t="shared" si="0"/>
        <v>0</v>
      </c>
      <c r="F28" s="1214">
        <v>-356</v>
      </c>
      <c r="G28" s="1214"/>
      <c r="H28" s="506">
        <f t="shared" si="1"/>
        <v>-356</v>
      </c>
      <c r="I28" s="221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</row>
    <row r="29" spans="1:9" ht="24.75" customHeight="1">
      <c r="A29" s="502">
        <v>16</v>
      </c>
      <c r="B29" s="507" t="s">
        <v>943</v>
      </c>
      <c r="C29" s="504"/>
      <c r="D29" s="504">
        <v>157851</v>
      </c>
      <c r="E29" s="505">
        <f t="shared" si="0"/>
        <v>157851</v>
      </c>
      <c r="F29" s="1214">
        <v>-337541</v>
      </c>
      <c r="G29" s="1214">
        <v>179690</v>
      </c>
      <c r="H29" s="506">
        <f t="shared" si="1"/>
        <v>0</v>
      </c>
      <c r="I29" s="221"/>
    </row>
    <row r="30" spans="1:9" ht="24.75" customHeight="1">
      <c r="A30" s="502">
        <v>17</v>
      </c>
      <c r="B30" s="507" t="s">
        <v>944</v>
      </c>
      <c r="C30" s="504"/>
      <c r="D30" s="504"/>
      <c r="E30" s="511">
        <f t="shared" si="0"/>
        <v>0</v>
      </c>
      <c r="F30" s="1214">
        <v>5829</v>
      </c>
      <c r="G30" s="1214"/>
      <c r="H30" s="506">
        <f t="shared" si="1"/>
        <v>5829</v>
      </c>
      <c r="I30" s="221"/>
    </row>
    <row r="31" spans="1:44" ht="24.75" customHeight="1">
      <c r="A31" s="502">
        <v>18</v>
      </c>
      <c r="B31" s="517" t="s">
        <v>945</v>
      </c>
      <c r="C31" s="518"/>
      <c r="D31" s="504"/>
      <c r="E31" s="505">
        <f t="shared" si="0"/>
        <v>0</v>
      </c>
      <c r="F31" s="1217">
        <v>0</v>
      </c>
      <c r="G31" s="1217"/>
      <c r="H31" s="506">
        <f t="shared" si="1"/>
        <v>0</v>
      </c>
      <c r="I31" s="221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</row>
    <row r="32" spans="1:8" ht="24.75" customHeight="1">
      <c r="A32" s="513">
        <v>19</v>
      </c>
      <c r="B32" s="516" t="s">
        <v>947</v>
      </c>
      <c r="C32" s="510">
        <f>SUM(C26:C31)</f>
        <v>17043</v>
      </c>
      <c r="D32" s="510">
        <f>SUM(D26:D31)</f>
        <v>197248</v>
      </c>
      <c r="E32" s="505">
        <f t="shared" si="0"/>
        <v>214291</v>
      </c>
      <c r="F32" s="505">
        <f>SUM(F26:F31)</f>
        <v>1482785</v>
      </c>
      <c r="G32" s="505">
        <f>SUM(G26:G31)</f>
        <v>452109</v>
      </c>
      <c r="H32" s="506">
        <f t="shared" si="1"/>
        <v>2149185</v>
      </c>
    </row>
    <row r="33" spans="1:8" ht="24.75" customHeight="1">
      <c r="A33" s="502">
        <v>20</v>
      </c>
      <c r="B33" s="507" t="s">
        <v>948</v>
      </c>
      <c r="C33" s="504"/>
      <c r="D33" s="504"/>
      <c r="E33" s="505">
        <f t="shared" si="0"/>
        <v>0</v>
      </c>
      <c r="F33" s="515"/>
      <c r="G33" s="515"/>
      <c r="H33" s="506">
        <f t="shared" si="1"/>
        <v>0</v>
      </c>
    </row>
    <row r="34" spans="1:8" ht="24.75" customHeight="1">
      <c r="A34" s="502">
        <v>21</v>
      </c>
      <c r="B34" s="507" t="s">
        <v>949</v>
      </c>
      <c r="C34" s="504"/>
      <c r="D34" s="504"/>
      <c r="E34" s="505">
        <f t="shared" si="0"/>
        <v>0</v>
      </c>
      <c r="F34" s="515"/>
      <c r="G34" s="515"/>
      <c r="H34" s="506">
        <f t="shared" si="1"/>
        <v>0</v>
      </c>
    </row>
    <row r="35" spans="1:8" ht="24.75" customHeight="1">
      <c r="A35" s="513">
        <v>22</v>
      </c>
      <c r="B35" s="516" t="s">
        <v>950</v>
      </c>
      <c r="C35" s="510">
        <f>SUM(C32+C33-C34)</f>
        <v>17043</v>
      </c>
      <c r="D35" s="510">
        <f>SUM(D32+D33-D34)</f>
        <v>197248</v>
      </c>
      <c r="E35" s="505">
        <f t="shared" si="0"/>
        <v>214291</v>
      </c>
      <c r="F35" s="505">
        <f>SUM(F32+F33-F34)</f>
        <v>1482785</v>
      </c>
      <c r="G35" s="505">
        <f>SUM(G32+G33-G34)</f>
        <v>452109</v>
      </c>
      <c r="H35" s="506">
        <f t="shared" si="1"/>
        <v>2149185</v>
      </c>
    </row>
    <row r="36" spans="1:8" ht="24.75" customHeight="1">
      <c r="A36" s="519">
        <v>23</v>
      </c>
      <c r="B36" s="520" t="s">
        <v>951</v>
      </c>
      <c r="C36" s="379"/>
      <c r="D36" s="379"/>
      <c r="E36" s="521"/>
      <c r="F36" s="522"/>
      <c r="G36" s="522"/>
      <c r="H36" s="512"/>
    </row>
    <row r="37" spans="1:8" ht="24.75" customHeight="1">
      <c r="A37" s="519"/>
      <c r="B37" s="523" t="s">
        <v>125</v>
      </c>
      <c r="C37" s="524"/>
      <c r="D37" s="524"/>
      <c r="E37" s="525">
        <f>SUM(C37:D37)</f>
        <v>0</v>
      </c>
      <c r="F37" s="526">
        <v>0</v>
      </c>
      <c r="G37" s="526"/>
      <c r="H37" s="527">
        <f t="shared" si="1"/>
        <v>0</v>
      </c>
    </row>
    <row r="38" spans="1:8" ht="24.75" customHeight="1">
      <c r="A38" s="528"/>
      <c r="B38" s="529" t="s">
        <v>126</v>
      </c>
      <c r="C38" s="525">
        <v>17043</v>
      </c>
      <c r="D38" s="524">
        <v>20839</v>
      </c>
      <c r="E38" s="542">
        <f>SUM(C38:D38)</f>
        <v>37882</v>
      </c>
      <c r="F38" s="526">
        <v>592044</v>
      </c>
      <c r="G38" s="526">
        <v>452109</v>
      </c>
      <c r="H38" s="527">
        <f t="shared" si="1"/>
        <v>1082035</v>
      </c>
    </row>
    <row r="39" spans="1:8" ht="24.75" customHeight="1">
      <c r="A39" s="530"/>
      <c r="B39" s="531" t="s">
        <v>127</v>
      </c>
      <c r="C39" s="532"/>
      <c r="D39" s="1251">
        <v>176409</v>
      </c>
      <c r="E39" s="782">
        <f>SUM(C39:D39)</f>
        <v>176409</v>
      </c>
      <c r="F39" s="532">
        <v>890741</v>
      </c>
      <c r="G39" s="1214"/>
      <c r="H39" s="533">
        <f>SUM(E39:G39)</f>
        <v>1067150</v>
      </c>
    </row>
    <row r="40" spans="3:8" ht="12.75">
      <c r="C40" s="240"/>
      <c r="D40" s="240"/>
      <c r="E40" s="240"/>
      <c r="F40" s="240"/>
      <c r="G40" s="240"/>
      <c r="H40" s="240"/>
    </row>
    <row r="41" spans="3:8" ht="12.75">
      <c r="C41" s="240"/>
      <c r="D41" s="240"/>
      <c r="E41" s="240"/>
      <c r="F41" s="240"/>
      <c r="G41" s="240"/>
      <c r="H41" s="240"/>
    </row>
  </sheetData>
  <sheetProtection/>
  <mergeCells count="2">
    <mergeCell ref="A5:H5"/>
    <mergeCell ref="A6:H6"/>
  </mergeCells>
  <printOptions horizontalCentered="1"/>
  <pageMargins left="0" right="0" top="1.1811023622047245" bottom="0.7874015748031497" header="0.5118110236220472" footer="0.5118110236220472"/>
  <pageSetup horizontalDpi="300" verticalDpi="300" orientation="portrait" paperSize="9" scale="7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E43"/>
  <sheetViews>
    <sheetView zoomScalePageLayoutView="0" workbookViewId="0" topLeftCell="A1">
      <selection activeCell="C5" sqref="C5:I5"/>
    </sheetView>
  </sheetViews>
  <sheetFormatPr defaultColWidth="9.00390625" defaultRowHeight="12.75"/>
  <cols>
    <col min="1" max="1" width="6.375" style="158" customWidth="1"/>
    <col min="2" max="2" width="28.25390625" style="158" customWidth="1"/>
    <col min="3" max="20" width="8.75390625" style="158" customWidth="1"/>
    <col min="21" max="21" width="11.625" style="158" customWidth="1"/>
    <col min="22" max="40" width="9.125" style="196" customWidth="1"/>
    <col min="41" max="16384" width="9.125" style="158" customWidth="1"/>
  </cols>
  <sheetData>
    <row r="1" spans="1:21" ht="12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544" t="s">
        <v>1276</v>
      </c>
      <c r="N1" s="544"/>
      <c r="O1" s="196"/>
      <c r="P1" s="196"/>
      <c r="Q1" s="196"/>
      <c r="R1" s="196"/>
      <c r="S1" s="196"/>
      <c r="T1" s="196"/>
      <c r="U1" s="544" t="s">
        <v>1277</v>
      </c>
    </row>
    <row r="2" spans="1:21" ht="12.75">
      <c r="A2" s="196"/>
      <c r="B2" s="196"/>
      <c r="C2" s="196"/>
      <c r="D2" s="196"/>
      <c r="E2" s="196"/>
      <c r="I2" s="196"/>
      <c r="J2" s="196"/>
      <c r="K2" s="196"/>
      <c r="L2" s="544" t="s">
        <v>71</v>
      </c>
      <c r="N2" s="544"/>
      <c r="O2" s="196"/>
      <c r="P2" s="196"/>
      <c r="Q2" s="196"/>
      <c r="R2" s="196"/>
      <c r="S2" s="196"/>
      <c r="T2" s="196"/>
      <c r="U2" s="544" t="s">
        <v>71</v>
      </c>
    </row>
    <row r="3" spans="1:21" ht="30.75" customHeight="1">
      <c r="A3" s="196"/>
      <c r="B3" s="196"/>
      <c r="C3" s="196"/>
      <c r="D3" s="196"/>
      <c r="E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2" ht="12.75">
      <c r="A4" s="2141"/>
      <c r="B4" s="2141"/>
      <c r="C4" s="2141"/>
      <c r="D4" s="2141"/>
      <c r="E4" s="2141"/>
      <c r="F4" s="2141"/>
      <c r="G4" s="2141"/>
      <c r="H4" s="2141"/>
      <c r="I4" s="2141"/>
      <c r="J4" s="2141"/>
      <c r="K4" s="2141"/>
      <c r="L4" s="2141"/>
      <c r="M4" s="2141"/>
      <c r="N4" s="2141"/>
      <c r="O4" s="2141"/>
      <c r="P4" s="2141"/>
      <c r="Q4" s="2141"/>
      <c r="R4" s="2141"/>
      <c r="S4" s="2141"/>
      <c r="T4" s="2141"/>
      <c r="U4" s="2141"/>
      <c r="V4" s="197"/>
    </row>
    <row r="5" spans="1:22" ht="15.75">
      <c r="A5" s="2142"/>
      <c r="B5" s="2142"/>
      <c r="C5" s="2334" t="s">
        <v>1282</v>
      </c>
      <c r="D5" s="2334"/>
      <c r="E5" s="2334"/>
      <c r="F5" s="2334"/>
      <c r="G5" s="2334"/>
      <c r="H5" s="2334"/>
      <c r="I5" s="2334"/>
      <c r="J5" s="2142"/>
      <c r="K5" s="2142"/>
      <c r="L5" s="2142"/>
      <c r="M5" s="2142"/>
      <c r="N5" s="2142"/>
      <c r="O5" s="2142"/>
      <c r="P5" s="2142"/>
      <c r="Q5" s="2142"/>
      <c r="R5" s="2142"/>
      <c r="S5" s="2142"/>
      <c r="T5" s="2142"/>
      <c r="U5" s="2142"/>
      <c r="V5" s="198"/>
    </row>
    <row r="6" spans="1:22" ht="15.75">
      <c r="A6" s="2142"/>
      <c r="B6" s="2142"/>
      <c r="C6" s="2334" t="s">
        <v>1283</v>
      </c>
      <c r="D6" s="2334"/>
      <c r="E6" s="2334"/>
      <c r="F6" s="2334"/>
      <c r="G6" s="2334"/>
      <c r="H6" s="2334"/>
      <c r="I6" s="2334"/>
      <c r="J6" s="2142"/>
      <c r="K6" s="2142"/>
      <c r="L6" s="2142"/>
      <c r="M6" s="2142"/>
      <c r="N6" s="2142"/>
      <c r="O6" s="2142"/>
      <c r="P6" s="2142"/>
      <c r="Q6" s="2142"/>
      <c r="R6" s="2142"/>
      <c r="S6" s="2142"/>
      <c r="T6" s="2142"/>
      <c r="U6" s="2142"/>
      <c r="V6" s="198"/>
    </row>
    <row r="7" spans="1:22" ht="15.75">
      <c r="A7" s="2142"/>
      <c r="B7" s="2142"/>
      <c r="C7" s="2334" t="s">
        <v>1254</v>
      </c>
      <c r="D7" s="2334"/>
      <c r="E7" s="2334"/>
      <c r="F7" s="2334"/>
      <c r="G7" s="2334"/>
      <c r="H7" s="2334"/>
      <c r="I7" s="2334"/>
      <c r="J7" s="2142"/>
      <c r="K7" s="2142"/>
      <c r="L7" s="2142"/>
      <c r="M7" s="2142"/>
      <c r="N7" s="2142"/>
      <c r="O7" s="2142"/>
      <c r="P7" s="2142"/>
      <c r="Q7" s="2142"/>
      <c r="R7" s="2142"/>
      <c r="S7" s="2142"/>
      <c r="T7" s="2142"/>
      <c r="U7" s="2142"/>
      <c r="V7" s="198"/>
    </row>
    <row r="8" spans="1:22" ht="11.25" customHeight="1">
      <c r="A8" s="2143"/>
      <c r="B8" s="2143"/>
      <c r="C8" s="2335" t="s">
        <v>72</v>
      </c>
      <c r="D8" s="2335"/>
      <c r="E8" s="2335"/>
      <c r="F8" s="2335"/>
      <c r="G8" s="2335"/>
      <c r="H8" s="2335"/>
      <c r="I8" s="2335"/>
      <c r="J8" s="2143"/>
      <c r="K8" s="2143"/>
      <c r="L8" s="2143"/>
      <c r="M8" s="2143"/>
      <c r="N8" s="2143"/>
      <c r="O8" s="2143"/>
      <c r="P8" s="2143"/>
      <c r="Q8" s="2143"/>
      <c r="R8" s="2143"/>
      <c r="S8" s="2143"/>
      <c r="T8" s="2143"/>
      <c r="U8" s="2143"/>
      <c r="V8" s="199"/>
    </row>
    <row r="9" spans="1:22" ht="11.25" customHeight="1">
      <c r="A9" s="2144"/>
      <c r="B9" s="2144"/>
      <c r="C9" s="2144"/>
      <c r="D9" s="2144"/>
      <c r="E9" s="2144"/>
      <c r="F9" s="2144"/>
      <c r="G9" s="2144"/>
      <c r="H9" s="2144"/>
      <c r="I9" s="2144"/>
      <c r="J9" s="2144"/>
      <c r="K9" s="2144"/>
      <c r="L9" s="2144"/>
      <c r="M9" s="2144"/>
      <c r="N9" s="2144"/>
      <c r="O9" s="2144"/>
      <c r="P9" s="2144"/>
      <c r="Q9" s="2144"/>
      <c r="R9" s="2144"/>
      <c r="S9" s="2144"/>
      <c r="T9" s="2144"/>
      <c r="U9" s="2144"/>
      <c r="V9" s="199"/>
    </row>
    <row r="10" spans="1:21" ht="30.75" customHeight="1" thickBot="1">
      <c r="A10" s="2141"/>
      <c r="B10" s="2141"/>
      <c r="C10" s="2141"/>
      <c r="D10" s="2141"/>
      <c r="E10" s="2141"/>
      <c r="F10" s="2141"/>
      <c r="G10" s="2141"/>
      <c r="H10" s="2141"/>
      <c r="I10" s="2141"/>
      <c r="J10" s="2141"/>
      <c r="K10" s="2141"/>
      <c r="L10" s="2141"/>
      <c r="M10" s="2141"/>
      <c r="N10" s="2141"/>
      <c r="O10" s="2141"/>
      <c r="P10" s="2141"/>
      <c r="Q10" s="2141"/>
      <c r="R10" s="2141"/>
      <c r="S10" s="2141"/>
      <c r="T10" s="2141"/>
      <c r="U10" s="2141"/>
    </row>
    <row r="11" spans="1:21" ht="12.75">
      <c r="A11" s="200"/>
      <c r="B11" s="201"/>
      <c r="C11" s="1223"/>
      <c r="D11" s="201"/>
      <c r="E11" s="202"/>
      <c r="F11" s="501" t="s">
        <v>1151</v>
      </c>
      <c r="G11" s="501"/>
      <c r="H11" s="501"/>
      <c r="I11" s="501"/>
      <c r="J11" s="501"/>
      <c r="K11" s="501"/>
      <c r="L11" s="2151" t="s">
        <v>1152</v>
      </c>
      <c r="M11" s="2154" t="s">
        <v>1153</v>
      </c>
      <c r="N11" s="2137"/>
      <c r="O11" s="1246"/>
      <c r="P11" s="501"/>
      <c r="Q11" s="501"/>
      <c r="R11" s="501"/>
      <c r="S11" s="501"/>
      <c r="T11" s="2332" t="s">
        <v>1280</v>
      </c>
      <c r="U11" s="1224"/>
    </row>
    <row r="12" spans="1:21" ht="12.75">
      <c r="A12" s="204" t="s">
        <v>530</v>
      </c>
      <c r="B12" s="205" t="s">
        <v>41</v>
      </c>
      <c r="C12" s="210" t="s">
        <v>1154</v>
      </c>
      <c r="D12" s="205" t="s">
        <v>0</v>
      </c>
      <c r="E12" s="210" t="s">
        <v>1155</v>
      </c>
      <c r="F12" s="205" t="s">
        <v>1156</v>
      </c>
      <c r="G12" s="205" t="s">
        <v>1157</v>
      </c>
      <c r="H12" s="205" t="s">
        <v>1158</v>
      </c>
      <c r="I12" s="205" t="s">
        <v>1159</v>
      </c>
      <c r="J12" s="205" t="s">
        <v>1160</v>
      </c>
      <c r="K12" s="205" t="s">
        <v>1278</v>
      </c>
      <c r="L12" s="1225" t="s">
        <v>1161</v>
      </c>
      <c r="M12" s="2155" t="s">
        <v>1162</v>
      </c>
      <c r="N12" s="2138" t="s">
        <v>1163</v>
      </c>
      <c r="O12" s="205" t="s">
        <v>212</v>
      </c>
      <c r="P12" s="205" t="s">
        <v>1164</v>
      </c>
      <c r="Q12" s="205" t="s">
        <v>1165</v>
      </c>
      <c r="R12" s="205" t="s">
        <v>1166</v>
      </c>
      <c r="S12" s="205" t="s">
        <v>1167</v>
      </c>
      <c r="T12" s="2333"/>
      <c r="U12" s="1226" t="s">
        <v>543</v>
      </c>
    </row>
    <row r="13" spans="1:21" ht="12.75">
      <c r="A13" s="204"/>
      <c r="B13" s="205"/>
      <c r="C13" s="210" t="s">
        <v>1168</v>
      </c>
      <c r="D13" s="205" t="s">
        <v>1171</v>
      </c>
      <c r="E13" s="210" t="s">
        <v>1162</v>
      </c>
      <c r="F13" s="205" t="s">
        <v>1170</v>
      </c>
      <c r="G13" s="205" t="s">
        <v>1171</v>
      </c>
      <c r="H13" s="206" t="s">
        <v>1171</v>
      </c>
      <c r="I13" s="206" t="s">
        <v>1171</v>
      </c>
      <c r="J13" s="206" t="s">
        <v>1171</v>
      </c>
      <c r="K13" s="206" t="s">
        <v>1279</v>
      </c>
      <c r="L13" s="2152" t="s">
        <v>1171</v>
      </c>
      <c r="M13" s="2155" t="s">
        <v>1172</v>
      </c>
      <c r="N13" s="2138" t="s">
        <v>1173</v>
      </c>
      <c r="O13" s="205"/>
      <c r="P13" s="206" t="s">
        <v>1174</v>
      </c>
      <c r="Q13" s="206" t="s">
        <v>1175</v>
      </c>
      <c r="R13" s="206" t="s">
        <v>1175</v>
      </c>
      <c r="S13" s="206" t="s">
        <v>1175</v>
      </c>
      <c r="T13" s="206" t="s">
        <v>1249</v>
      </c>
      <c r="U13" s="1226" t="s">
        <v>879</v>
      </c>
    </row>
    <row r="14" spans="1:21" ht="12.75">
      <c r="A14" s="211"/>
      <c r="B14" s="212"/>
      <c r="C14" s="214"/>
      <c r="D14" s="212" t="s">
        <v>1169</v>
      </c>
      <c r="E14" s="214" t="s">
        <v>1169</v>
      </c>
      <c r="F14" s="212" t="s">
        <v>1169</v>
      </c>
      <c r="G14" s="212" t="s">
        <v>1169</v>
      </c>
      <c r="H14" s="213" t="s">
        <v>1169</v>
      </c>
      <c r="I14" s="213" t="s">
        <v>1169</v>
      </c>
      <c r="J14" s="213" t="s">
        <v>1169</v>
      </c>
      <c r="K14" s="213" t="s">
        <v>1169</v>
      </c>
      <c r="L14" s="2153" t="s">
        <v>1169</v>
      </c>
      <c r="M14" s="2156" t="s">
        <v>1169</v>
      </c>
      <c r="N14" s="2139" t="s">
        <v>1169</v>
      </c>
      <c r="O14" s="212"/>
      <c r="P14" s="213" t="s">
        <v>1176</v>
      </c>
      <c r="Q14" s="213" t="s">
        <v>1176</v>
      </c>
      <c r="R14" s="213" t="s">
        <v>1176</v>
      </c>
      <c r="S14" s="213" t="s">
        <v>1176</v>
      </c>
      <c r="T14" s="213" t="s">
        <v>1023</v>
      </c>
      <c r="U14" s="1227"/>
    </row>
    <row r="15" spans="1:21" ht="12.75">
      <c r="A15" s="218">
        <v>1</v>
      </c>
      <c r="B15" s="219">
        <v>2</v>
      </c>
      <c r="C15" s="219">
        <v>3</v>
      </c>
      <c r="D15" s="219">
        <v>4</v>
      </c>
      <c r="E15" s="219">
        <v>5</v>
      </c>
      <c r="F15" s="219">
        <v>6</v>
      </c>
      <c r="G15" s="219">
        <v>7</v>
      </c>
      <c r="H15" s="219">
        <v>8</v>
      </c>
      <c r="I15" s="219">
        <v>9</v>
      </c>
      <c r="J15" s="219">
        <v>10</v>
      </c>
      <c r="K15" s="219">
        <v>11</v>
      </c>
      <c r="L15" s="1228">
        <v>12</v>
      </c>
      <c r="M15" s="2157">
        <v>4</v>
      </c>
      <c r="N15" s="1250">
        <v>5</v>
      </c>
      <c r="O15" s="219">
        <v>6</v>
      </c>
      <c r="P15" s="219">
        <v>7</v>
      </c>
      <c r="Q15" s="219">
        <v>8</v>
      </c>
      <c r="R15" s="219">
        <v>9</v>
      </c>
      <c r="S15" s="219">
        <v>10</v>
      </c>
      <c r="T15" s="219">
        <v>11</v>
      </c>
      <c r="U15" s="1229">
        <v>12</v>
      </c>
    </row>
    <row r="16" spans="1:22" ht="24.75" customHeight="1">
      <c r="A16" s="502">
        <v>1</v>
      </c>
      <c r="B16" s="503" t="s">
        <v>916</v>
      </c>
      <c r="C16" s="504">
        <v>3737</v>
      </c>
      <c r="D16" s="504">
        <v>838</v>
      </c>
      <c r="E16" s="504">
        <v>2901</v>
      </c>
      <c r="F16" s="504">
        <v>624</v>
      </c>
      <c r="G16" s="504">
        <v>1484</v>
      </c>
      <c r="H16" s="504">
        <v>559</v>
      </c>
      <c r="I16" s="504">
        <v>2096</v>
      </c>
      <c r="J16" s="504">
        <v>1805</v>
      </c>
      <c r="K16" s="504">
        <v>1487</v>
      </c>
      <c r="L16" s="1230">
        <v>2231</v>
      </c>
      <c r="M16" s="2158">
        <v>1798</v>
      </c>
      <c r="N16" s="1231">
        <v>252</v>
      </c>
      <c r="O16" s="504">
        <v>1060</v>
      </c>
      <c r="P16" s="504">
        <v>3425</v>
      </c>
      <c r="Q16" s="504">
        <v>694</v>
      </c>
      <c r="R16" s="504">
        <v>1014</v>
      </c>
      <c r="S16" s="504">
        <v>1930</v>
      </c>
      <c r="T16" s="504">
        <v>3094</v>
      </c>
      <c r="U16" s="1232">
        <f aca="true" t="shared" si="0" ref="U16:U37">SUM(C16:T16)</f>
        <v>31029</v>
      </c>
      <c r="V16" s="1233"/>
    </row>
    <row r="17" spans="1:22" ht="24.75" customHeight="1">
      <c r="A17" s="502">
        <v>2</v>
      </c>
      <c r="B17" s="507" t="s">
        <v>917</v>
      </c>
      <c r="C17" s="504"/>
      <c r="D17" s="504"/>
      <c r="E17" s="504"/>
      <c r="F17" s="504"/>
      <c r="G17" s="504"/>
      <c r="H17" s="504"/>
      <c r="I17" s="504"/>
      <c r="J17" s="504"/>
      <c r="K17" s="504"/>
      <c r="L17" s="1230"/>
      <c r="M17" s="2158"/>
      <c r="N17" s="1231"/>
      <c r="O17" s="504"/>
      <c r="P17" s="504"/>
      <c r="Q17" s="504"/>
      <c r="R17" s="504"/>
      <c r="S17" s="504"/>
      <c r="T17" s="504"/>
      <c r="U17" s="1232">
        <f t="shared" si="0"/>
        <v>0</v>
      </c>
      <c r="V17" s="1233"/>
    </row>
    <row r="18" spans="1:22" ht="24.75" customHeight="1">
      <c r="A18" s="508">
        <v>3</v>
      </c>
      <c r="B18" s="509" t="s">
        <v>918</v>
      </c>
      <c r="C18" s="510">
        <f aca="true" t="shared" si="1" ref="C18:T18">SUM(C16:C17)</f>
        <v>3737</v>
      </c>
      <c r="D18" s="510">
        <f t="shared" si="1"/>
        <v>838</v>
      </c>
      <c r="E18" s="510">
        <f t="shared" si="1"/>
        <v>2901</v>
      </c>
      <c r="F18" s="510">
        <f t="shared" si="1"/>
        <v>624</v>
      </c>
      <c r="G18" s="510">
        <f t="shared" si="1"/>
        <v>1484</v>
      </c>
      <c r="H18" s="510">
        <f t="shared" si="1"/>
        <v>559</v>
      </c>
      <c r="I18" s="510">
        <f t="shared" si="1"/>
        <v>2096</v>
      </c>
      <c r="J18" s="510">
        <f t="shared" si="1"/>
        <v>1805</v>
      </c>
      <c r="K18" s="510">
        <f t="shared" si="1"/>
        <v>1487</v>
      </c>
      <c r="L18" s="1234">
        <f t="shared" si="1"/>
        <v>2231</v>
      </c>
      <c r="M18" s="2159">
        <f t="shared" si="1"/>
        <v>1798</v>
      </c>
      <c r="N18" s="1235">
        <f t="shared" si="1"/>
        <v>252</v>
      </c>
      <c r="O18" s="510">
        <f t="shared" si="1"/>
        <v>1060</v>
      </c>
      <c r="P18" s="510">
        <f t="shared" si="1"/>
        <v>3425</v>
      </c>
      <c r="Q18" s="510">
        <f t="shared" si="1"/>
        <v>694</v>
      </c>
      <c r="R18" s="510">
        <f t="shared" si="1"/>
        <v>1014</v>
      </c>
      <c r="S18" s="510">
        <f t="shared" si="1"/>
        <v>1930</v>
      </c>
      <c r="T18" s="510">
        <f t="shared" si="1"/>
        <v>3094</v>
      </c>
      <c r="U18" s="1232">
        <f t="shared" si="0"/>
        <v>31029</v>
      </c>
      <c r="V18" s="1233"/>
    </row>
    <row r="19" spans="1:22" ht="24.75" customHeight="1">
      <c r="A19" s="502">
        <v>4</v>
      </c>
      <c r="B19" s="507" t="s">
        <v>919</v>
      </c>
      <c r="C19" s="504"/>
      <c r="D19" s="504"/>
      <c r="E19" s="504"/>
      <c r="F19" s="504"/>
      <c r="G19" s="504"/>
      <c r="H19" s="504"/>
      <c r="I19" s="504"/>
      <c r="J19" s="504"/>
      <c r="K19" s="504"/>
      <c r="L19" s="1230"/>
      <c r="M19" s="2158"/>
      <c r="N19" s="1231"/>
      <c r="O19" s="504"/>
      <c r="P19" s="504"/>
      <c r="Q19" s="504"/>
      <c r="R19" s="504"/>
      <c r="S19" s="504"/>
      <c r="T19" s="504"/>
      <c r="U19" s="1236">
        <f t="shared" si="0"/>
        <v>0</v>
      </c>
      <c r="V19" s="1233"/>
    </row>
    <row r="20" spans="1:22" ht="24.75" customHeight="1">
      <c r="A20" s="502">
        <v>5</v>
      </c>
      <c r="B20" s="507" t="s">
        <v>920</v>
      </c>
      <c r="C20" s="504"/>
      <c r="D20" s="504"/>
      <c r="E20" s="504"/>
      <c r="F20" s="504"/>
      <c r="G20" s="504"/>
      <c r="H20" s="504"/>
      <c r="I20" s="504"/>
      <c r="J20" s="504"/>
      <c r="K20" s="504"/>
      <c r="L20" s="1230"/>
      <c r="M20" s="2158"/>
      <c r="N20" s="1231"/>
      <c r="O20" s="504"/>
      <c r="P20" s="504"/>
      <c r="Q20" s="504"/>
      <c r="R20" s="504"/>
      <c r="S20" s="504"/>
      <c r="T20" s="504"/>
      <c r="U20" s="1236">
        <f t="shared" si="0"/>
        <v>0</v>
      </c>
      <c r="V20" s="1233"/>
    </row>
    <row r="21" spans="1:22" ht="24.75" customHeight="1">
      <c r="A21" s="502">
        <v>6</v>
      </c>
      <c r="B21" s="507" t="s">
        <v>921</v>
      </c>
      <c r="C21" s="504">
        <v>231</v>
      </c>
      <c r="D21" s="504">
        <v>353</v>
      </c>
      <c r="E21" s="504"/>
      <c r="F21" s="504">
        <v>75</v>
      </c>
      <c r="G21" s="504">
        <v>190</v>
      </c>
      <c r="H21" s="504"/>
      <c r="I21" s="504"/>
      <c r="J21" s="504"/>
      <c r="K21" s="504"/>
      <c r="L21" s="1230">
        <v>10</v>
      </c>
      <c r="M21" s="2158">
        <v>49</v>
      </c>
      <c r="N21" s="1231">
        <v>27</v>
      </c>
      <c r="O21" s="504">
        <v>632</v>
      </c>
      <c r="P21" s="504">
        <v>250</v>
      </c>
      <c r="Q21" s="504">
        <v>20</v>
      </c>
      <c r="R21" s="504">
        <v>100</v>
      </c>
      <c r="S21" s="504"/>
      <c r="T21" s="504">
        <v>148</v>
      </c>
      <c r="U21" s="1236">
        <f t="shared" si="0"/>
        <v>2085</v>
      </c>
      <c r="V21" s="1233"/>
    </row>
    <row r="22" spans="1:22" ht="24.75" customHeight="1">
      <c r="A22" s="502">
        <v>7</v>
      </c>
      <c r="B22" s="507" t="s">
        <v>934</v>
      </c>
      <c r="C22" s="504"/>
      <c r="D22" s="504"/>
      <c r="E22" s="504"/>
      <c r="F22" s="504"/>
      <c r="G22" s="504"/>
      <c r="H22" s="504"/>
      <c r="I22" s="504"/>
      <c r="J22" s="504"/>
      <c r="K22" s="504"/>
      <c r="L22" s="1230"/>
      <c r="M22" s="2158"/>
      <c r="N22" s="1231"/>
      <c r="O22" s="504"/>
      <c r="P22" s="504"/>
      <c r="Q22" s="504"/>
      <c r="R22" s="504"/>
      <c r="S22" s="504"/>
      <c r="T22" s="504"/>
      <c r="U22" s="1236">
        <f t="shared" si="0"/>
        <v>0</v>
      </c>
      <c r="V22" s="1233"/>
    </row>
    <row r="23" spans="1:22" ht="24.75" customHeight="1">
      <c r="A23" s="502">
        <v>8</v>
      </c>
      <c r="B23" s="507" t="s">
        <v>935</v>
      </c>
      <c r="C23" s="504">
        <v>1529</v>
      </c>
      <c r="D23" s="504">
        <v>239</v>
      </c>
      <c r="E23" s="504">
        <v>529</v>
      </c>
      <c r="F23" s="504">
        <v>88</v>
      </c>
      <c r="G23" s="504">
        <v>219</v>
      </c>
      <c r="H23" s="504">
        <v>765</v>
      </c>
      <c r="I23" s="504">
        <v>241</v>
      </c>
      <c r="J23" s="504">
        <v>188</v>
      </c>
      <c r="K23" s="504">
        <v>1119</v>
      </c>
      <c r="L23" s="1230">
        <v>240</v>
      </c>
      <c r="M23" s="2158">
        <v>215</v>
      </c>
      <c r="N23" s="1231">
        <v>335</v>
      </c>
      <c r="O23" s="504"/>
      <c r="P23" s="504">
        <v>978</v>
      </c>
      <c r="Q23" s="504">
        <v>605</v>
      </c>
      <c r="R23" s="504">
        <v>211</v>
      </c>
      <c r="S23" s="504"/>
      <c r="T23" s="504"/>
      <c r="U23" s="1232">
        <f t="shared" si="0"/>
        <v>7501</v>
      </c>
      <c r="V23" s="1233"/>
    </row>
    <row r="24" spans="1:22" ht="24.75" customHeight="1">
      <c r="A24" s="502">
        <v>9</v>
      </c>
      <c r="B24" s="507" t="s">
        <v>936</v>
      </c>
      <c r="C24" s="504"/>
      <c r="D24" s="504"/>
      <c r="E24" s="504"/>
      <c r="F24" s="504"/>
      <c r="G24" s="504"/>
      <c r="H24" s="504"/>
      <c r="I24" s="504"/>
      <c r="J24" s="504"/>
      <c r="K24" s="504"/>
      <c r="L24" s="1230"/>
      <c r="M24" s="2158"/>
      <c r="N24" s="1231"/>
      <c r="O24" s="504"/>
      <c r="P24" s="504"/>
      <c r="Q24" s="504"/>
      <c r="R24" s="504"/>
      <c r="S24" s="504"/>
      <c r="T24" s="504"/>
      <c r="U24" s="1232">
        <f t="shared" si="0"/>
        <v>0</v>
      </c>
      <c r="V24" s="1233"/>
    </row>
    <row r="25" spans="1:22" ht="24.75" customHeight="1">
      <c r="A25" s="513">
        <v>10</v>
      </c>
      <c r="B25" s="514" t="s">
        <v>937</v>
      </c>
      <c r="C25" s="510">
        <f aca="true" t="shared" si="2" ref="C25:T25">SUM(C19-C20+C21-C22+C23-C24)</f>
        <v>1760</v>
      </c>
      <c r="D25" s="510">
        <f t="shared" si="2"/>
        <v>592</v>
      </c>
      <c r="E25" s="510">
        <f t="shared" si="2"/>
        <v>529</v>
      </c>
      <c r="F25" s="510">
        <f t="shared" si="2"/>
        <v>163</v>
      </c>
      <c r="G25" s="510">
        <f t="shared" si="2"/>
        <v>409</v>
      </c>
      <c r="H25" s="510">
        <f t="shared" si="2"/>
        <v>765</v>
      </c>
      <c r="I25" s="510">
        <f t="shared" si="2"/>
        <v>241</v>
      </c>
      <c r="J25" s="510">
        <f t="shared" si="2"/>
        <v>188</v>
      </c>
      <c r="K25" s="510">
        <f t="shared" si="2"/>
        <v>1119</v>
      </c>
      <c r="L25" s="1234">
        <f t="shared" si="2"/>
        <v>250</v>
      </c>
      <c r="M25" s="2159">
        <f t="shared" si="2"/>
        <v>264</v>
      </c>
      <c r="N25" s="1235">
        <f t="shared" si="2"/>
        <v>362</v>
      </c>
      <c r="O25" s="510">
        <f t="shared" si="2"/>
        <v>632</v>
      </c>
      <c r="P25" s="510">
        <f t="shared" si="2"/>
        <v>1228</v>
      </c>
      <c r="Q25" s="510">
        <f t="shared" si="2"/>
        <v>625</v>
      </c>
      <c r="R25" s="510">
        <f t="shared" si="2"/>
        <v>311</v>
      </c>
      <c r="S25" s="510">
        <f t="shared" si="2"/>
        <v>0</v>
      </c>
      <c r="T25" s="510">
        <f t="shared" si="2"/>
        <v>148</v>
      </c>
      <c r="U25" s="1232">
        <f t="shared" si="0"/>
        <v>9586</v>
      </c>
      <c r="V25" s="1233"/>
    </row>
    <row r="26" spans="1:21" ht="24.75" customHeight="1">
      <c r="A26" s="502">
        <v>11</v>
      </c>
      <c r="B26" s="507" t="s">
        <v>938</v>
      </c>
      <c r="C26" s="504"/>
      <c r="D26" s="504"/>
      <c r="E26" s="504"/>
      <c r="F26" s="504"/>
      <c r="G26" s="504"/>
      <c r="H26" s="504"/>
      <c r="I26" s="504"/>
      <c r="J26" s="504"/>
      <c r="K26" s="504"/>
      <c r="L26" s="1230"/>
      <c r="M26" s="2158"/>
      <c r="N26" s="1231"/>
      <c r="O26" s="504"/>
      <c r="P26" s="504"/>
      <c r="Q26" s="504"/>
      <c r="R26" s="504">
        <v>1218</v>
      </c>
      <c r="S26" s="504"/>
      <c r="T26" s="504"/>
      <c r="U26" s="1236">
        <f t="shared" si="0"/>
        <v>1218</v>
      </c>
    </row>
    <row r="27" spans="1:21" ht="24.75" customHeight="1">
      <c r="A27" s="502">
        <v>12</v>
      </c>
      <c r="B27" s="507" t="s">
        <v>939</v>
      </c>
      <c r="C27" s="504"/>
      <c r="D27" s="504"/>
      <c r="E27" s="504"/>
      <c r="F27" s="504"/>
      <c r="G27" s="504"/>
      <c r="H27" s="504"/>
      <c r="I27" s="504"/>
      <c r="J27" s="504"/>
      <c r="K27" s="504"/>
      <c r="L27" s="1230"/>
      <c r="M27" s="2158"/>
      <c r="N27" s="1231"/>
      <c r="O27" s="504"/>
      <c r="P27" s="504"/>
      <c r="Q27" s="504"/>
      <c r="R27" s="504"/>
      <c r="S27" s="504"/>
      <c r="T27" s="504"/>
      <c r="U27" s="1232">
        <f t="shared" si="0"/>
        <v>0</v>
      </c>
    </row>
    <row r="28" spans="1:22" ht="24.75" customHeight="1">
      <c r="A28" s="513">
        <v>13</v>
      </c>
      <c r="B28" s="516" t="s">
        <v>940</v>
      </c>
      <c r="C28" s="510">
        <f aca="true" t="shared" si="3" ref="C28:T28">SUM(C18+C25-C26-C27)</f>
        <v>5497</v>
      </c>
      <c r="D28" s="510">
        <f t="shared" si="3"/>
        <v>1430</v>
      </c>
      <c r="E28" s="510">
        <f t="shared" si="3"/>
        <v>3430</v>
      </c>
      <c r="F28" s="510">
        <f t="shared" si="3"/>
        <v>787</v>
      </c>
      <c r="G28" s="510">
        <f t="shared" si="3"/>
        <v>1893</v>
      </c>
      <c r="H28" s="510">
        <f t="shared" si="3"/>
        <v>1324</v>
      </c>
      <c r="I28" s="510">
        <f t="shared" si="3"/>
        <v>2337</v>
      </c>
      <c r="J28" s="510">
        <f t="shared" si="3"/>
        <v>1993</v>
      </c>
      <c r="K28" s="510">
        <f t="shared" si="3"/>
        <v>2606</v>
      </c>
      <c r="L28" s="1234">
        <f t="shared" si="3"/>
        <v>2481</v>
      </c>
      <c r="M28" s="2159">
        <f t="shared" si="3"/>
        <v>2062</v>
      </c>
      <c r="N28" s="1235">
        <f t="shared" si="3"/>
        <v>614</v>
      </c>
      <c r="O28" s="510">
        <f t="shared" si="3"/>
        <v>1692</v>
      </c>
      <c r="P28" s="510">
        <f t="shared" si="3"/>
        <v>4653</v>
      </c>
      <c r="Q28" s="510">
        <f t="shared" si="3"/>
        <v>1319</v>
      </c>
      <c r="R28" s="510">
        <f t="shared" si="3"/>
        <v>107</v>
      </c>
      <c r="S28" s="510">
        <f t="shared" si="3"/>
        <v>1930</v>
      </c>
      <c r="T28" s="510">
        <f t="shared" si="3"/>
        <v>3242</v>
      </c>
      <c r="U28" s="1232">
        <f t="shared" si="0"/>
        <v>39397</v>
      </c>
      <c r="V28" s="1237"/>
    </row>
    <row r="29" spans="1:21" ht="24.75" customHeight="1">
      <c r="A29" s="502">
        <v>14</v>
      </c>
      <c r="B29" s="507" t="s">
        <v>941</v>
      </c>
      <c r="C29" s="504"/>
      <c r="D29" s="504"/>
      <c r="E29" s="504"/>
      <c r="F29" s="504"/>
      <c r="G29" s="504"/>
      <c r="H29" s="504"/>
      <c r="I29" s="504"/>
      <c r="J29" s="504"/>
      <c r="K29" s="504"/>
      <c r="L29" s="1230"/>
      <c r="M29" s="2158"/>
      <c r="N29" s="1231"/>
      <c r="O29" s="504"/>
      <c r="P29" s="504"/>
      <c r="Q29" s="504"/>
      <c r="R29" s="504"/>
      <c r="S29" s="504"/>
      <c r="T29" s="504"/>
      <c r="U29" s="1232">
        <f t="shared" si="0"/>
        <v>0</v>
      </c>
    </row>
    <row r="30" spans="1:57" ht="24.75" customHeight="1">
      <c r="A30" s="502">
        <v>15</v>
      </c>
      <c r="B30" s="507" t="s">
        <v>942</v>
      </c>
      <c r="C30" s="504"/>
      <c r="D30" s="504"/>
      <c r="E30" s="504"/>
      <c r="F30" s="504"/>
      <c r="G30" s="504"/>
      <c r="H30" s="504"/>
      <c r="I30" s="504"/>
      <c r="J30" s="504"/>
      <c r="K30" s="504"/>
      <c r="L30" s="1230"/>
      <c r="M30" s="2158"/>
      <c r="N30" s="1231"/>
      <c r="O30" s="504"/>
      <c r="P30" s="504"/>
      <c r="Q30" s="504"/>
      <c r="R30" s="504"/>
      <c r="S30" s="504"/>
      <c r="T30" s="504"/>
      <c r="U30" s="1236">
        <f t="shared" si="0"/>
        <v>0</v>
      </c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</row>
    <row r="31" spans="1:21" ht="24.75" customHeight="1">
      <c r="A31" s="502">
        <v>16</v>
      </c>
      <c r="B31" s="507" t="s">
        <v>943</v>
      </c>
      <c r="C31" s="504">
        <v>36046</v>
      </c>
      <c r="D31" s="504">
        <v>210</v>
      </c>
      <c r="E31" s="504">
        <v>49583</v>
      </c>
      <c r="F31" s="504">
        <v>1707</v>
      </c>
      <c r="G31" s="504">
        <v>622</v>
      </c>
      <c r="H31" s="504">
        <v>707</v>
      </c>
      <c r="I31" s="504">
        <v>367</v>
      </c>
      <c r="J31" s="504">
        <v>5679</v>
      </c>
      <c r="K31" s="504">
        <v>5757</v>
      </c>
      <c r="L31" s="1230">
        <v>1128</v>
      </c>
      <c r="M31" s="2158">
        <v>7102</v>
      </c>
      <c r="N31" s="1231">
        <v>3068</v>
      </c>
      <c r="O31" s="504"/>
      <c r="P31" s="504">
        <v>5607</v>
      </c>
      <c r="Q31" s="504">
        <v>9301</v>
      </c>
      <c r="R31" s="504">
        <v>12192</v>
      </c>
      <c r="S31" s="504">
        <v>5029</v>
      </c>
      <c r="T31" s="504">
        <v>13746</v>
      </c>
      <c r="U31" s="1232">
        <f t="shared" si="0"/>
        <v>157851</v>
      </c>
    </row>
    <row r="32" spans="1:21" ht="24.75" customHeight="1">
      <c r="A32" s="502">
        <v>17</v>
      </c>
      <c r="B32" s="507" t="s">
        <v>944</v>
      </c>
      <c r="C32" s="504"/>
      <c r="D32" s="504"/>
      <c r="E32" s="504"/>
      <c r="F32" s="504"/>
      <c r="G32" s="504"/>
      <c r="H32" s="504"/>
      <c r="I32" s="504"/>
      <c r="J32" s="504"/>
      <c r="K32" s="504"/>
      <c r="L32" s="1230"/>
      <c r="M32" s="2158"/>
      <c r="N32" s="1231"/>
      <c r="O32" s="504"/>
      <c r="P32" s="504"/>
      <c r="Q32" s="504"/>
      <c r="R32" s="504"/>
      <c r="S32" s="504"/>
      <c r="T32" s="504"/>
      <c r="U32" s="1236">
        <f t="shared" si="0"/>
        <v>0</v>
      </c>
    </row>
    <row r="33" spans="1:57" ht="24.75" customHeight="1">
      <c r="A33" s="502">
        <v>18</v>
      </c>
      <c r="B33" s="517" t="s">
        <v>945</v>
      </c>
      <c r="C33" s="504"/>
      <c r="D33" s="504"/>
      <c r="E33" s="504"/>
      <c r="F33" s="518"/>
      <c r="G33" s="518"/>
      <c r="H33" s="518"/>
      <c r="I33" s="518"/>
      <c r="J33" s="518"/>
      <c r="K33" s="518"/>
      <c r="L33" s="1238"/>
      <c r="M33" s="2160"/>
      <c r="N33" s="2140"/>
      <c r="O33" s="518"/>
      <c r="P33" s="518"/>
      <c r="Q33" s="518"/>
      <c r="R33" s="518"/>
      <c r="S33" s="518"/>
      <c r="T33" s="504"/>
      <c r="U33" s="1232">
        <f t="shared" si="0"/>
        <v>0</v>
      </c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</row>
    <row r="34" spans="1:21" ht="24.75" customHeight="1">
      <c r="A34" s="513">
        <v>19</v>
      </c>
      <c r="B34" s="516" t="s">
        <v>947</v>
      </c>
      <c r="C34" s="510">
        <f aca="true" t="shared" si="4" ref="C34:T34">SUM(C28:C33)</f>
        <v>41543</v>
      </c>
      <c r="D34" s="510">
        <f t="shared" si="4"/>
        <v>1640</v>
      </c>
      <c r="E34" s="510">
        <f t="shared" si="4"/>
        <v>53013</v>
      </c>
      <c r="F34" s="510">
        <f t="shared" si="4"/>
        <v>2494</v>
      </c>
      <c r="G34" s="510">
        <f t="shared" si="4"/>
        <v>2515</v>
      </c>
      <c r="H34" s="510">
        <f t="shared" si="4"/>
        <v>2031</v>
      </c>
      <c r="I34" s="510">
        <f t="shared" si="4"/>
        <v>2704</v>
      </c>
      <c r="J34" s="510">
        <f t="shared" si="4"/>
        <v>7672</v>
      </c>
      <c r="K34" s="510">
        <f t="shared" si="4"/>
        <v>8363</v>
      </c>
      <c r="L34" s="1234">
        <f t="shared" si="4"/>
        <v>3609</v>
      </c>
      <c r="M34" s="2159">
        <f t="shared" si="4"/>
        <v>9164</v>
      </c>
      <c r="N34" s="1235">
        <f t="shared" si="4"/>
        <v>3682</v>
      </c>
      <c r="O34" s="510">
        <f t="shared" si="4"/>
        <v>1692</v>
      </c>
      <c r="P34" s="510">
        <f t="shared" si="4"/>
        <v>10260</v>
      </c>
      <c r="Q34" s="510">
        <f t="shared" si="4"/>
        <v>10620</v>
      </c>
      <c r="R34" s="510">
        <f t="shared" si="4"/>
        <v>12299</v>
      </c>
      <c r="S34" s="510">
        <f t="shared" si="4"/>
        <v>6959</v>
      </c>
      <c r="T34" s="510">
        <f t="shared" si="4"/>
        <v>16988</v>
      </c>
      <c r="U34" s="1232">
        <f t="shared" si="0"/>
        <v>197248</v>
      </c>
    </row>
    <row r="35" spans="1:21" ht="24.75" customHeight="1">
      <c r="A35" s="502">
        <v>20</v>
      </c>
      <c r="B35" s="507" t="s">
        <v>948</v>
      </c>
      <c r="C35" s="504"/>
      <c r="D35" s="504"/>
      <c r="E35" s="504"/>
      <c r="F35" s="504"/>
      <c r="G35" s="504"/>
      <c r="H35" s="504"/>
      <c r="I35" s="504"/>
      <c r="J35" s="504"/>
      <c r="K35" s="504"/>
      <c r="L35" s="1230"/>
      <c r="M35" s="2158"/>
      <c r="N35" s="1231"/>
      <c r="O35" s="504"/>
      <c r="P35" s="504"/>
      <c r="Q35" s="504"/>
      <c r="R35" s="504"/>
      <c r="S35" s="504"/>
      <c r="T35" s="504"/>
      <c r="U35" s="1232">
        <f t="shared" si="0"/>
        <v>0</v>
      </c>
    </row>
    <row r="36" spans="1:21" ht="24.75" customHeight="1">
      <c r="A36" s="502">
        <v>21</v>
      </c>
      <c r="B36" s="507" t="s">
        <v>949</v>
      </c>
      <c r="C36" s="504"/>
      <c r="D36" s="504"/>
      <c r="E36" s="504"/>
      <c r="F36" s="504"/>
      <c r="G36" s="504"/>
      <c r="H36" s="504"/>
      <c r="I36" s="504"/>
      <c r="J36" s="504"/>
      <c r="K36" s="504"/>
      <c r="L36" s="1230"/>
      <c r="M36" s="2158"/>
      <c r="N36" s="1231"/>
      <c r="O36" s="504"/>
      <c r="P36" s="504"/>
      <c r="Q36" s="504"/>
      <c r="R36" s="504"/>
      <c r="S36" s="504"/>
      <c r="T36" s="504"/>
      <c r="U36" s="1232">
        <f t="shared" si="0"/>
        <v>0</v>
      </c>
    </row>
    <row r="37" spans="1:21" ht="24.75" customHeight="1">
      <c r="A37" s="513">
        <v>22</v>
      </c>
      <c r="B37" s="516" t="s">
        <v>950</v>
      </c>
      <c r="C37" s="510">
        <f aca="true" t="shared" si="5" ref="C37:T37">SUM(C34+C35-C36)</f>
        <v>41543</v>
      </c>
      <c r="D37" s="510">
        <f t="shared" si="5"/>
        <v>1640</v>
      </c>
      <c r="E37" s="510">
        <f t="shared" si="5"/>
        <v>53013</v>
      </c>
      <c r="F37" s="510">
        <f t="shared" si="5"/>
        <v>2494</v>
      </c>
      <c r="G37" s="510">
        <f t="shared" si="5"/>
        <v>2515</v>
      </c>
      <c r="H37" s="510">
        <f t="shared" si="5"/>
        <v>2031</v>
      </c>
      <c r="I37" s="510">
        <f t="shared" si="5"/>
        <v>2704</v>
      </c>
      <c r="J37" s="510">
        <f t="shared" si="5"/>
        <v>7672</v>
      </c>
      <c r="K37" s="510">
        <f t="shared" si="5"/>
        <v>8363</v>
      </c>
      <c r="L37" s="1234">
        <f t="shared" si="5"/>
        <v>3609</v>
      </c>
      <c r="M37" s="2159">
        <f t="shared" si="5"/>
        <v>9164</v>
      </c>
      <c r="N37" s="1235">
        <f t="shared" si="5"/>
        <v>3682</v>
      </c>
      <c r="O37" s="510">
        <f t="shared" si="5"/>
        <v>1692</v>
      </c>
      <c r="P37" s="510">
        <f t="shared" si="5"/>
        <v>10260</v>
      </c>
      <c r="Q37" s="510">
        <f t="shared" si="5"/>
        <v>10620</v>
      </c>
      <c r="R37" s="510">
        <f t="shared" si="5"/>
        <v>12299</v>
      </c>
      <c r="S37" s="510">
        <f t="shared" si="5"/>
        <v>6959</v>
      </c>
      <c r="T37" s="510">
        <f t="shared" si="5"/>
        <v>16988</v>
      </c>
      <c r="U37" s="1232">
        <f t="shared" si="0"/>
        <v>197248</v>
      </c>
    </row>
    <row r="38" spans="1:21" ht="24.75" customHeight="1">
      <c r="A38" s="519">
        <v>23</v>
      </c>
      <c r="B38" s="520" t="s">
        <v>951</v>
      </c>
      <c r="C38" s="379"/>
      <c r="D38" s="379"/>
      <c r="E38" s="379"/>
      <c r="F38" s="379"/>
      <c r="G38" s="379"/>
      <c r="H38" s="379"/>
      <c r="I38" s="379"/>
      <c r="J38" s="379"/>
      <c r="K38" s="379"/>
      <c r="L38" s="1239"/>
      <c r="M38" s="2161"/>
      <c r="N38" s="1240"/>
      <c r="O38" s="379"/>
      <c r="P38" s="379"/>
      <c r="Q38" s="379"/>
      <c r="R38" s="379"/>
      <c r="S38" s="379"/>
      <c r="T38" s="379"/>
      <c r="U38" s="1241"/>
    </row>
    <row r="39" spans="1:21" ht="24.75" customHeight="1">
      <c r="A39" s="519"/>
      <c r="B39" s="523" t="s">
        <v>125</v>
      </c>
      <c r="C39" s="524"/>
      <c r="D39" s="524"/>
      <c r="E39" s="524"/>
      <c r="F39" s="524"/>
      <c r="G39" s="524"/>
      <c r="H39" s="524"/>
      <c r="I39" s="524"/>
      <c r="J39" s="524"/>
      <c r="K39" s="524"/>
      <c r="L39" s="1242"/>
      <c r="M39" s="2162"/>
      <c r="N39" s="1243"/>
      <c r="O39" s="524"/>
      <c r="P39" s="524"/>
      <c r="Q39" s="524"/>
      <c r="R39" s="524"/>
      <c r="S39" s="524"/>
      <c r="T39" s="524"/>
      <c r="U39" s="1244">
        <f>SUM(C39:T39)</f>
        <v>0</v>
      </c>
    </row>
    <row r="40" spans="1:21" ht="24.75" customHeight="1">
      <c r="A40" s="528"/>
      <c r="B40" s="529" t="s">
        <v>126</v>
      </c>
      <c r="C40" s="525">
        <v>1617</v>
      </c>
      <c r="D40" s="525">
        <v>587</v>
      </c>
      <c r="E40" s="525">
        <v>5311</v>
      </c>
      <c r="F40" s="525">
        <v>128</v>
      </c>
      <c r="G40" s="525">
        <v>596</v>
      </c>
      <c r="H40" s="525">
        <v>377</v>
      </c>
      <c r="I40" s="525">
        <v>647</v>
      </c>
      <c r="J40" s="525"/>
      <c r="K40" s="525">
        <v>3874</v>
      </c>
      <c r="L40" s="527">
        <v>2230</v>
      </c>
      <c r="M40" s="2163">
        <v>231</v>
      </c>
      <c r="N40" s="526">
        <v>415</v>
      </c>
      <c r="O40" s="525">
        <v>500</v>
      </c>
      <c r="P40" s="525"/>
      <c r="Q40" s="525">
        <v>92</v>
      </c>
      <c r="R40" s="525">
        <v>171</v>
      </c>
      <c r="S40" s="525"/>
      <c r="T40" s="525">
        <v>4063</v>
      </c>
      <c r="U40" s="1245">
        <f>SUM(C40:T40)</f>
        <v>20839</v>
      </c>
    </row>
    <row r="41" spans="1:21" ht="24.75" customHeight="1" thickBot="1">
      <c r="A41" s="2145"/>
      <c r="B41" s="2146" t="s">
        <v>127</v>
      </c>
      <c r="C41" s="2147">
        <v>39926</v>
      </c>
      <c r="D41" s="2147">
        <v>1053</v>
      </c>
      <c r="E41" s="2147">
        <v>47702</v>
      </c>
      <c r="F41" s="2147">
        <v>2366</v>
      </c>
      <c r="G41" s="2147">
        <v>1919</v>
      </c>
      <c r="H41" s="2147">
        <v>1654</v>
      </c>
      <c r="I41" s="2147">
        <v>2057</v>
      </c>
      <c r="J41" s="2147">
        <v>7672</v>
      </c>
      <c r="K41" s="2147">
        <v>4489</v>
      </c>
      <c r="L41" s="2149">
        <v>1379</v>
      </c>
      <c r="M41" s="2164">
        <v>8933</v>
      </c>
      <c r="N41" s="2148">
        <v>3267</v>
      </c>
      <c r="O41" s="2147">
        <v>1192</v>
      </c>
      <c r="P41" s="2147">
        <v>10260</v>
      </c>
      <c r="Q41" s="2147">
        <v>10528</v>
      </c>
      <c r="R41" s="2147">
        <v>12128</v>
      </c>
      <c r="S41" s="2147">
        <v>6959</v>
      </c>
      <c r="T41" s="2147">
        <v>12925</v>
      </c>
      <c r="U41" s="2150">
        <f>SUM(C41:T41)</f>
        <v>176409</v>
      </c>
    </row>
    <row r="42" spans="3:21" ht="12.75"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</row>
    <row r="43" spans="3:21" ht="12.75"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</row>
  </sheetData>
  <sheetProtection/>
  <mergeCells count="5">
    <mergeCell ref="T11:T12"/>
    <mergeCell ref="C6:I6"/>
    <mergeCell ref="C7:I7"/>
    <mergeCell ref="C8:I8"/>
    <mergeCell ref="C5:I5"/>
  </mergeCells>
  <printOptions horizontalCentered="1"/>
  <pageMargins left="0.3937007874015748" right="0.3937007874015748" top="1.1811023622047245" bottom="0.7874015748031497" header="0.2362204724409449" footer="0.5118110236220472"/>
  <pageSetup horizontalDpi="1200" verticalDpi="1200" orientation="portrait" paperSize="9" scale="75" r:id="rId1"/>
  <colBreaks count="1" manualBreakCount="1">
    <brk id="12" max="3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W50"/>
  <sheetViews>
    <sheetView zoomScale="75" zoomScaleNormal="75" zoomScalePageLayoutView="0" workbookViewId="0" topLeftCell="E1">
      <selection activeCell="I49" sqref="I49"/>
    </sheetView>
  </sheetViews>
  <sheetFormatPr defaultColWidth="9.00390625" defaultRowHeight="12.75"/>
  <cols>
    <col min="1" max="1" width="50.75390625" style="158" customWidth="1"/>
    <col min="2" max="2" width="11.75390625" style="158" customWidth="1"/>
    <col min="3" max="3" width="14.75390625" style="158" customWidth="1"/>
    <col min="4" max="4" width="11.75390625" style="158" customWidth="1"/>
    <col min="5" max="5" width="14.75390625" style="158" customWidth="1"/>
    <col min="6" max="6" width="11.75390625" style="158" customWidth="1"/>
    <col min="7" max="7" width="14.75390625" style="158" customWidth="1"/>
    <col min="8" max="8" width="11.75390625" style="158" customWidth="1"/>
    <col min="9" max="9" width="14.75390625" style="158" customWidth="1"/>
    <col min="10" max="10" width="12.75390625" style="158" customWidth="1"/>
    <col min="11" max="11" width="14.75390625" style="158" customWidth="1"/>
    <col min="12" max="12" width="15.75390625" style="158" customWidth="1"/>
    <col min="13" max="13" width="20.75390625" style="158" customWidth="1"/>
    <col min="14" max="16384" width="9.125" style="158" customWidth="1"/>
  </cols>
  <sheetData>
    <row r="1" spans="1:13" ht="15.7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4"/>
      <c r="M1" s="778" t="s">
        <v>651</v>
      </c>
    </row>
    <row r="2" spans="1:13" ht="15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4"/>
      <c r="M2" s="242" t="s">
        <v>71</v>
      </c>
    </row>
    <row r="3" spans="1:13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225"/>
      <c r="M3" s="225"/>
    </row>
    <row r="4" spans="1:13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225"/>
      <c r="M4" s="225"/>
    </row>
    <row r="5" spans="1:13" ht="18.75">
      <c r="A5" s="2342" t="s">
        <v>1136</v>
      </c>
      <c r="B5" s="2342"/>
      <c r="C5" s="2342"/>
      <c r="D5" s="2342"/>
      <c r="E5" s="2342"/>
      <c r="F5" s="2342"/>
      <c r="G5" s="2342"/>
      <c r="H5" s="2342"/>
      <c r="I5" s="2342"/>
      <c r="J5" s="2342"/>
      <c r="K5" s="2342"/>
      <c r="L5" s="2342"/>
      <c r="M5" s="2342"/>
    </row>
    <row r="6" spans="1:13" ht="12.75">
      <c r="A6" s="2343"/>
      <c r="B6" s="2343"/>
      <c r="C6" s="2343"/>
      <c r="D6" s="2343"/>
      <c r="E6" s="2343"/>
      <c r="F6" s="2343"/>
      <c r="G6" s="2343"/>
      <c r="H6" s="2343"/>
      <c r="I6" s="2343"/>
      <c r="J6" s="2343"/>
      <c r="K6" s="2343"/>
      <c r="L6" s="2343"/>
      <c r="M6" s="2343"/>
    </row>
    <row r="7" spans="1:13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5"/>
      <c r="M7" s="225"/>
    </row>
    <row r="8" spans="1:13" ht="12.7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5"/>
      <c r="M8" s="225"/>
    </row>
    <row r="9" spans="1:13" ht="15.75">
      <c r="A9" s="226"/>
      <c r="B9" s="226"/>
      <c r="C9" s="226"/>
      <c r="D9" s="226"/>
      <c r="E9" s="226"/>
      <c r="F9" s="226"/>
      <c r="G9" s="226"/>
      <c r="H9" s="226"/>
      <c r="I9" s="226"/>
      <c r="J9" s="225"/>
      <c r="K9" s="226"/>
      <c r="L9" s="225"/>
      <c r="M9" s="322" t="s">
        <v>144</v>
      </c>
    </row>
    <row r="10" spans="1:13" ht="12.7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</row>
    <row r="11" spans="1:13" ht="13.5" thickBo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</row>
    <row r="12" spans="1:13" ht="15.75">
      <c r="A12" s="227"/>
      <c r="B12" s="2338" t="s">
        <v>452</v>
      </c>
      <c r="C12" s="2339"/>
      <c r="D12" s="304"/>
      <c r="E12" s="307"/>
      <c r="F12" s="305"/>
      <c r="G12" s="307"/>
      <c r="H12" s="305"/>
      <c r="I12" s="307"/>
      <c r="J12" s="305"/>
      <c r="K12" s="307"/>
      <c r="L12" s="308"/>
      <c r="M12" s="306"/>
    </row>
    <row r="13" spans="1:13" ht="15.75">
      <c r="A13" s="303"/>
      <c r="B13" s="2336" t="s">
        <v>451</v>
      </c>
      <c r="C13" s="2337"/>
      <c r="D13" s="2336" t="s">
        <v>146</v>
      </c>
      <c r="E13" s="2337"/>
      <c r="F13" s="2336" t="s">
        <v>148</v>
      </c>
      <c r="G13" s="2337"/>
      <c r="H13" s="2336" t="s">
        <v>453</v>
      </c>
      <c r="I13" s="2337"/>
      <c r="J13" s="2336" t="s">
        <v>268</v>
      </c>
      <c r="K13" s="2337"/>
      <c r="L13" s="301"/>
      <c r="M13" s="336" t="s">
        <v>139</v>
      </c>
    </row>
    <row r="14" spans="1:13" ht="15.75">
      <c r="A14" s="303"/>
      <c r="B14" s="2336" t="s">
        <v>169</v>
      </c>
      <c r="C14" s="2337"/>
      <c r="D14" s="2336" t="s">
        <v>147</v>
      </c>
      <c r="E14" s="2337"/>
      <c r="F14" s="2336" t="s">
        <v>149</v>
      </c>
      <c r="G14" s="2337"/>
      <c r="H14" s="2336" t="s">
        <v>456</v>
      </c>
      <c r="I14" s="2337"/>
      <c r="J14" s="2336" t="s">
        <v>269</v>
      </c>
      <c r="K14" s="2337"/>
      <c r="L14" s="302" t="s">
        <v>133</v>
      </c>
      <c r="M14" s="336" t="s">
        <v>140</v>
      </c>
    </row>
    <row r="15" spans="1:13" ht="15.75">
      <c r="A15" s="303"/>
      <c r="B15" s="2340" t="s">
        <v>150</v>
      </c>
      <c r="C15" s="2341"/>
      <c r="D15" s="2340" t="s">
        <v>516</v>
      </c>
      <c r="E15" s="2341"/>
      <c r="F15" s="2340" t="s">
        <v>151</v>
      </c>
      <c r="G15" s="2341"/>
      <c r="H15" s="2340" t="s">
        <v>168</v>
      </c>
      <c r="I15" s="2341"/>
      <c r="J15" s="319"/>
      <c r="K15" s="320"/>
      <c r="L15" s="302" t="s">
        <v>134</v>
      </c>
      <c r="M15" s="336" t="s">
        <v>141</v>
      </c>
    </row>
    <row r="16" spans="1:13" ht="15.75">
      <c r="A16" s="228"/>
      <c r="B16" s="230"/>
      <c r="C16" s="230"/>
      <c r="D16" s="229"/>
      <c r="E16" s="230"/>
      <c r="F16" s="229"/>
      <c r="G16" s="230"/>
      <c r="H16" s="229"/>
      <c r="I16" s="230"/>
      <c r="J16" s="232"/>
      <c r="K16" s="231"/>
      <c r="L16" s="302" t="s">
        <v>135</v>
      </c>
      <c r="M16" s="323" t="s">
        <v>454</v>
      </c>
    </row>
    <row r="17" spans="1:13" ht="15.75">
      <c r="A17" s="321" t="s">
        <v>449</v>
      </c>
      <c r="B17" s="301"/>
      <c r="C17" s="302" t="s">
        <v>152</v>
      </c>
      <c r="D17" s="301"/>
      <c r="E17" s="302" t="s">
        <v>152</v>
      </c>
      <c r="F17" s="301"/>
      <c r="G17" s="302" t="s">
        <v>152</v>
      </c>
      <c r="H17" s="301"/>
      <c r="I17" s="302" t="s">
        <v>152</v>
      </c>
      <c r="J17" s="302" t="s">
        <v>434</v>
      </c>
      <c r="K17" s="302" t="s">
        <v>436</v>
      </c>
      <c r="L17" s="302" t="s">
        <v>136</v>
      </c>
      <c r="M17" s="323"/>
    </row>
    <row r="18" spans="1:13" ht="15.75">
      <c r="A18" s="321" t="s">
        <v>450</v>
      </c>
      <c r="B18" s="302" t="s">
        <v>153</v>
      </c>
      <c r="C18" s="302" t="s">
        <v>145</v>
      </c>
      <c r="D18" s="302" t="s">
        <v>153</v>
      </c>
      <c r="E18" s="302" t="s">
        <v>145</v>
      </c>
      <c r="F18" s="302" t="s">
        <v>153</v>
      </c>
      <c r="G18" s="302" t="s">
        <v>145</v>
      </c>
      <c r="H18" s="302" t="s">
        <v>153</v>
      </c>
      <c r="I18" s="302" t="s">
        <v>145</v>
      </c>
      <c r="J18" s="302" t="s">
        <v>270</v>
      </c>
      <c r="K18" s="302" t="s">
        <v>437</v>
      </c>
      <c r="L18" s="302" t="s">
        <v>137</v>
      </c>
      <c r="M18" s="323" t="s">
        <v>142</v>
      </c>
    </row>
    <row r="19" spans="1:13" ht="15.75">
      <c r="A19" s="233"/>
      <c r="B19" s="302" t="s">
        <v>316</v>
      </c>
      <c r="C19" s="302" t="s">
        <v>194</v>
      </c>
      <c r="D19" s="302" t="s">
        <v>316</v>
      </c>
      <c r="E19" s="302" t="s">
        <v>194</v>
      </c>
      <c r="F19" s="302" t="s">
        <v>316</v>
      </c>
      <c r="G19" s="302" t="s">
        <v>194</v>
      </c>
      <c r="H19" s="302" t="s">
        <v>316</v>
      </c>
      <c r="I19" s="302" t="s">
        <v>194</v>
      </c>
      <c r="J19" s="302" t="s">
        <v>435</v>
      </c>
      <c r="K19" s="302" t="s">
        <v>438</v>
      </c>
      <c r="L19" s="302" t="s">
        <v>138</v>
      </c>
      <c r="M19" s="323" t="s">
        <v>143</v>
      </c>
    </row>
    <row r="20" spans="1:13" ht="15.75">
      <c r="A20" s="233"/>
      <c r="B20" s="234"/>
      <c r="C20" s="234"/>
      <c r="D20" s="235"/>
      <c r="E20" s="234"/>
      <c r="F20" s="235"/>
      <c r="G20" s="234"/>
      <c r="H20" s="235"/>
      <c r="I20" s="234"/>
      <c r="J20" s="302" t="s">
        <v>154</v>
      </c>
      <c r="K20" s="318" t="s">
        <v>154</v>
      </c>
      <c r="L20" s="234"/>
      <c r="M20" s="323" t="s">
        <v>455</v>
      </c>
    </row>
    <row r="21" spans="1:13" ht="15">
      <c r="A21" s="309">
        <v>1</v>
      </c>
      <c r="B21" s="310">
        <v>2</v>
      </c>
      <c r="C21" s="310">
        <v>3</v>
      </c>
      <c r="D21" s="310">
        <v>4</v>
      </c>
      <c r="E21" s="310">
        <v>5</v>
      </c>
      <c r="F21" s="310">
        <v>6</v>
      </c>
      <c r="G21" s="310">
        <v>7</v>
      </c>
      <c r="H21" s="310">
        <v>8</v>
      </c>
      <c r="I21" s="310">
        <v>9</v>
      </c>
      <c r="J21" s="310">
        <v>10</v>
      </c>
      <c r="K21" s="310">
        <v>11</v>
      </c>
      <c r="L21" s="310">
        <v>12</v>
      </c>
      <c r="M21" s="311">
        <v>13</v>
      </c>
    </row>
    <row r="22" spans="1:13" ht="15">
      <c r="A22" s="5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</row>
    <row r="23" spans="1:13" ht="12.75">
      <c r="A23" s="536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</row>
    <row r="24" spans="1:13" ht="19.5" customHeight="1">
      <c r="A24" s="324" t="s">
        <v>1009</v>
      </c>
      <c r="B24" s="325">
        <v>58</v>
      </c>
      <c r="C24" s="325">
        <v>46400000</v>
      </c>
      <c r="D24" s="325">
        <v>0</v>
      </c>
      <c r="E24" s="325">
        <f aca="true" t="shared" si="0" ref="E24:E29">D24*(C24/B24)</f>
        <v>0</v>
      </c>
      <c r="F24" s="325">
        <v>58</v>
      </c>
      <c r="G24" s="325">
        <f aca="true" t="shared" si="1" ref="G24:G29">F24*(C24/B24)</f>
        <v>46400000</v>
      </c>
      <c r="H24" s="325">
        <v>0</v>
      </c>
      <c r="I24" s="325">
        <v>0</v>
      </c>
      <c r="J24" s="325">
        <f>G24-K24</f>
        <v>46400000</v>
      </c>
      <c r="K24" s="325"/>
      <c r="L24" s="325">
        <f aca="true" t="shared" si="2" ref="L24:L37">I24-G24+J24+K24</f>
        <v>0</v>
      </c>
      <c r="M24" s="326">
        <f aca="true" t="shared" si="3" ref="M24:M37">L24</f>
        <v>0</v>
      </c>
    </row>
    <row r="25" spans="1:13" ht="19.5" customHeight="1">
      <c r="A25" s="324" t="s">
        <v>1010</v>
      </c>
      <c r="B25" s="325">
        <v>58</v>
      </c>
      <c r="C25" s="325">
        <v>23200000</v>
      </c>
      <c r="D25" s="325">
        <v>0</v>
      </c>
      <c r="E25" s="325">
        <f t="shared" si="0"/>
        <v>0</v>
      </c>
      <c r="F25" s="325">
        <v>58</v>
      </c>
      <c r="G25" s="325">
        <f t="shared" si="1"/>
        <v>23200000</v>
      </c>
      <c r="H25" s="325">
        <v>0</v>
      </c>
      <c r="I25" s="325">
        <v>0</v>
      </c>
      <c r="J25" s="325">
        <f>G25-K25</f>
        <v>23200000</v>
      </c>
      <c r="K25" s="325"/>
      <c r="L25" s="325">
        <f t="shared" si="2"/>
        <v>0</v>
      </c>
      <c r="M25" s="326">
        <f t="shared" si="3"/>
        <v>0</v>
      </c>
    </row>
    <row r="26" spans="1:13" ht="19.5" customHeight="1">
      <c r="A26" s="324" t="s">
        <v>1137</v>
      </c>
      <c r="B26" s="325">
        <v>1039</v>
      </c>
      <c r="C26" s="325">
        <v>4363800</v>
      </c>
      <c r="D26" s="325">
        <v>0</v>
      </c>
      <c r="E26" s="325">
        <f t="shared" si="0"/>
        <v>0</v>
      </c>
      <c r="F26" s="325">
        <v>1039</v>
      </c>
      <c r="G26" s="325">
        <f t="shared" si="1"/>
        <v>4363800</v>
      </c>
      <c r="H26" s="325">
        <v>0</v>
      </c>
      <c r="I26" s="325">
        <f>H26*(C26/B26)</f>
        <v>0</v>
      </c>
      <c r="J26" s="325">
        <f>G26-K26</f>
        <v>4363800</v>
      </c>
      <c r="K26" s="325">
        <v>0</v>
      </c>
      <c r="L26" s="325">
        <f t="shared" si="2"/>
        <v>0</v>
      </c>
      <c r="M26" s="326">
        <f t="shared" si="3"/>
        <v>0</v>
      </c>
    </row>
    <row r="27" spans="1:13" ht="19.5" customHeight="1">
      <c r="A27" s="324" t="s">
        <v>1138</v>
      </c>
      <c r="B27" s="325">
        <v>1039</v>
      </c>
      <c r="C27" s="325">
        <v>2181900</v>
      </c>
      <c r="D27" s="325">
        <v>0</v>
      </c>
      <c r="E27" s="325">
        <f t="shared" si="0"/>
        <v>0</v>
      </c>
      <c r="F27" s="325">
        <v>1046</v>
      </c>
      <c r="G27" s="325">
        <f t="shared" si="1"/>
        <v>2196600</v>
      </c>
      <c r="H27" s="325">
        <f>F27-B27-D27</f>
        <v>7</v>
      </c>
      <c r="I27" s="325">
        <f>G27-C27-E27</f>
        <v>14700</v>
      </c>
      <c r="J27" s="325">
        <v>2011627</v>
      </c>
      <c r="K27" s="325"/>
      <c r="L27" s="325">
        <f t="shared" si="2"/>
        <v>-170273</v>
      </c>
      <c r="M27" s="326">
        <f t="shared" si="3"/>
        <v>-170273</v>
      </c>
    </row>
    <row r="28" spans="1:13" ht="19.5" customHeight="1">
      <c r="A28" s="324" t="s">
        <v>1139</v>
      </c>
      <c r="B28" s="325">
        <v>347</v>
      </c>
      <c r="C28" s="325">
        <v>6014667</v>
      </c>
      <c r="D28" s="325">
        <v>-3</v>
      </c>
      <c r="E28" s="325">
        <f t="shared" si="0"/>
        <v>-52000.00288184438</v>
      </c>
      <c r="F28" s="325">
        <v>344</v>
      </c>
      <c r="G28" s="325">
        <f t="shared" si="1"/>
        <v>5962666.9971181555</v>
      </c>
      <c r="H28" s="325">
        <v>0</v>
      </c>
      <c r="I28" s="325">
        <f aca="true" t="shared" si="4" ref="I28:I35">H28*(C28/B28)</f>
        <v>0</v>
      </c>
      <c r="J28" s="325">
        <f>G28-K28-1</f>
        <v>5962665.9971181555</v>
      </c>
      <c r="K28" s="325"/>
      <c r="L28" s="325">
        <f t="shared" si="2"/>
        <v>-1</v>
      </c>
      <c r="M28" s="326">
        <f t="shared" si="3"/>
        <v>-1</v>
      </c>
    </row>
    <row r="29" spans="1:13" ht="19.5" customHeight="1">
      <c r="A29" s="324" t="s">
        <v>1140</v>
      </c>
      <c r="B29" s="325">
        <v>348</v>
      </c>
      <c r="C29" s="325">
        <v>3016000</v>
      </c>
      <c r="D29" s="325">
        <v>0</v>
      </c>
      <c r="E29" s="325">
        <f t="shared" si="0"/>
        <v>0</v>
      </c>
      <c r="F29" s="325">
        <v>351</v>
      </c>
      <c r="G29" s="325">
        <f t="shared" si="1"/>
        <v>3042000</v>
      </c>
      <c r="H29" s="325">
        <v>3</v>
      </c>
      <c r="I29" s="325">
        <f t="shared" si="4"/>
        <v>26000</v>
      </c>
      <c r="J29" s="325">
        <f>G29-K29-1</f>
        <v>3041999</v>
      </c>
      <c r="K29" s="325"/>
      <c r="L29" s="325">
        <f t="shared" si="2"/>
        <v>25999</v>
      </c>
      <c r="M29" s="326">
        <f t="shared" si="3"/>
        <v>25999</v>
      </c>
    </row>
    <row r="30" spans="1:13" ht="19.5" customHeight="1">
      <c r="A30" s="324" t="s">
        <v>1141</v>
      </c>
      <c r="B30" s="325">
        <v>11</v>
      </c>
      <c r="C30" s="325">
        <v>476667</v>
      </c>
      <c r="D30" s="325">
        <v>-1</v>
      </c>
      <c r="E30" s="325">
        <f>D30*(C30/B30)-1</f>
        <v>-43334.36363636364</v>
      </c>
      <c r="F30" s="325">
        <v>10</v>
      </c>
      <c r="G30" s="325">
        <f>F30*(C30/B30)-1</f>
        <v>433332.6363636364</v>
      </c>
      <c r="H30" s="325">
        <v>0</v>
      </c>
      <c r="I30" s="325">
        <f t="shared" si="4"/>
        <v>0</v>
      </c>
      <c r="J30" s="325">
        <f>G30-K30</f>
        <v>433332.6363636364</v>
      </c>
      <c r="K30" s="325"/>
      <c r="L30" s="325">
        <f t="shared" si="2"/>
        <v>0</v>
      </c>
      <c r="M30" s="326">
        <f t="shared" si="3"/>
        <v>0</v>
      </c>
    </row>
    <row r="31" spans="1:13" ht="19.5" customHeight="1">
      <c r="A31" s="324" t="s">
        <v>1142</v>
      </c>
      <c r="B31" s="325">
        <v>11</v>
      </c>
      <c r="C31" s="325">
        <v>238333</v>
      </c>
      <c r="D31" s="325">
        <v>0</v>
      </c>
      <c r="E31" s="325">
        <f aca="true" t="shared" si="5" ref="E31:E36">D31*(C31/B31)</f>
        <v>0</v>
      </c>
      <c r="F31" s="325">
        <v>11</v>
      </c>
      <c r="G31" s="325">
        <f aca="true" t="shared" si="6" ref="G31:G37">F31*(C31/B31)</f>
        <v>238333</v>
      </c>
      <c r="H31" s="325">
        <v>0</v>
      </c>
      <c r="I31" s="325">
        <f t="shared" si="4"/>
        <v>0</v>
      </c>
      <c r="J31" s="325">
        <f>G31-K31</f>
        <v>238333</v>
      </c>
      <c r="K31" s="325"/>
      <c r="L31" s="325">
        <f t="shared" si="2"/>
        <v>0</v>
      </c>
      <c r="M31" s="326">
        <f t="shared" si="3"/>
        <v>0</v>
      </c>
    </row>
    <row r="32" spans="1:13" ht="19.5" customHeight="1">
      <c r="A32" s="324" t="s">
        <v>1143</v>
      </c>
      <c r="B32" s="325">
        <v>2195</v>
      </c>
      <c r="C32" s="325">
        <v>149260000</v>
      </c>
      <c r="D32" s="325">
        <v>0</v>
      </c>
      <c r="E32" s="325">
        <f t="shared" si="5"/>
        <v>0</v>
      </c>
      <c r="F32" s="325">
        <v>2262</v>
      </c>
      <c r="G32" s="325">
        <f t="shared" si="6"/>
        <v>153816000</v>
      </c>
      <c r="H32" s="325">
        <v>67</v>
      </c>
      <c r="I32" s="325">
        <f t="shared" si="4"/>
        <v>4556000</v>
      </c>
      <c r="J32" s="325">
        <f>G32-K32</f>
        <v>153816000</v>
      </c>
      <c r="K32" s="325"/>
      <c r="L32" s="325">
        <f t="shared" si="2"/>
        <v>4556000</v>
      </c>
      <c r="M32" s="326">
        <f t="shared" si="3"/>
        <v>4556000</v>
      </c>
    </row>
    <row r="33" spans="1:13" ht="19.5" customHeight="1">
      <c r="A33" s="324" t="s">
        <v>1144</v>
      </c>
      <c r="B33" s="325">
        <v>7973</v>
      </c>
      <c r="C33" s="325">
        <v>9301833</v>
      </c>
      <c r="D33" s="325">
        <v>0</v>
      </c>
      <c r="E33" s="325">
        <f t="shared" si="5"/>
        <v>0</v>
      </c>
      <c r="F33" s="325">
        <v>7973</v>
      </c>
      <c r="G33" s="325">
        <f t="shared" si="6"/>
        <v>9301833</v>
      </c>
      <c r="H33" s="325">
        <v>0</v>
      </c>
      <c r="I33" s="325">
        <f t="shared" si="4"/>
        <v>0</v>
      </c>
      <c r="J33" s="325">
        <f>G33-K33</f>
        <v>9301833</v>
      </c>
      <c r="K33" s="325"/>
      <c r="L33" s="325">
        <f t="shared" si="2"/>
        <v>0</v>
      </c>
      <c r="M33" s="326">
        <f t="shared" si="3"/>
        <v>0</v>
      </c>
    </row>
    <row r="34" spans="1:13" ht="19.5" customHeight="1">
      <c r="A34" s="324" t="s">
        <v>1145</v>
      </c>
      <c r="B34" s="325">
        <v>8073</v>
      </c>
      <c r="C34" s="325">
        <v>4709250</v>
      </c>
      <c r="D34" s="325">
        <v>0</v>
      </c>
      <c r="E34" s="325">
        <f t="shared" si="5"/>
        <v>0</v>
      </c>
      <c r="F34" s="325">
        <v>8128</v>
      </c>
      <c r="G34" s="325">
        <f t="shared" si="6"/>
        <v>4741333.333333334</v>
      </c>
      <c r="H34" s="325">
        <v>55</v>
      </c>
      <c r="I34" s="325">
        <f t="shared" si="4"/>
        <v>32083.333333333336</v>
      </c>
      <c r="J34" s="325">
        <v>4710167</v>
      </c>
      <c r="K34" s="325"/>
      <c r="L34" s="325">
        <f t="shared" si="2"/>
        <v>916.9999999990687</v>
      </c>
      <c r="M34" s="326">
        <f t="shared" si="3"/>
        <v>916.9999999990687</v>
      </c>
    </row>
    <row r="35" spans="1:13" ht="19.5" customHeight="1">
      <c r="A35" s="324" t="s">
        <v>1146</v>
      </c>
      <c r="B35" s="325">
        <v>2588</v>
      </c>
      <c r="C35" s="325">
        <v>31056000</v>
      </c>
      <c r="D35" s="325">
        <v>0</v>
      </c>
      <c r="E35" s="325">
        <f t="shared" si="5"/>
        <v>0</v>
      </c>
      <c r="F35" s="325">
        <v>2699</v>
      </c>
      <c r="G35" s="325">
        <f t="shared" si="6"/>
        <v>32388000</v>
      </c>
      <c r="H35" s="325">
        <v>111</v>
      </c>
      <c r="I35" s="325">
        <f t="shared" si="4"/>
        <v>1332000</v>
      </c>
      <c r="J35" s="325">
        <f>G35-K35</f>
        <v>32388000</v>
      </c>
      <c r="K35" s="325">
        <v>0</v>
      </c>
      <c r="L35" s="325">
        <f t="shared" si="2"/>
        <v>1332000</v>
      </c>
      <c r="M35" s="326">
        <f t="shared" si="3"/>
        <v>1332000</v>
      </c>
    </row>
    <row r="36" spans="1:13" ht="19.5" customHeight="1">
      <c r="A36" s="324" t="s">
        <v>1014</v>
      </c>
      <c r="B36" s="325">
        <v>163</v>
      </c>
      <c r="C36" s="325">
        <v>267320</v>
      </c>
      <c r="D36" s="325">
        <v>0</v>
      </c>
      <c r="E36" s="325">
        <f t="shared" si="5"/>
        <v>0</v>
      </c>
      <c r="F36" s="325">
        <v>160</v>
      </c>
      <c r="G36" s="325">
        <f t="shared" si="6"/>
        <v>262400</v>
      </c>
      <c r="H36" s="325">
        <f>F36-B36-D36</f>
        <v>-3</v>
      </c>
      <c r="I36" s="325">
        <f>G36-C36-E36</f>
        <v>-4920</v>
      </c>
      <c r="J36" s="325">
        <f>G36-K36</f>
        <v>262400</v>
      </c>
      <c r="K36" s="325"/>
      <c r="L36" s="325">
        <f t="shared" si="2"/>
        <v>-4920</v>
      </c>
      <c r="M36" s="326">
        <f t="shared" si="3"/>
        <v>-4920</v>
      </c>
    </row>
    <row r="37" spans="1:49" ht="19.5" customHeight="1">
      <c r="A37" s="324" t="s">
        <v>1147</v>
      </c>
      <c r="B37" s="325">
        <v>9</v>
      </c>
      <c r="C37" s="325">
        <v>612000</v>
      </c>
      <c r="D37" s="325">
        <v>0</v>
      </c>
      <c r="E37" s="325">
        <v>0</v>
      </c>
      <c r="F37" s="325">
        <v>13</v>
      </c>
      <c r="G37" s="325">
        <f t="shared" si="6"/>
        <v>884000</v>
      </c>
      <c r="H37" s="325">
        <f>F37-B37-D37</f>
        <v>4</v>
      </c>
      <c r="I37" s="325">
        <f>G37-C37-E37</f>
        <v>272000</v>
      </c>
      <c r="J37" s="325">
        <f>G37-K37</f>
        <v>884000</v>
      </c>
      <c r="K37" s="325"/>
      <c r="L37" s="325">
        <f t="shared" si="2"/>
        <v>272000</v>
      </c>
      <c r="M37" s="326">
        <f t="shared" si="3"/>
        <v>272000</v>
      </c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</row>
    <row r="38" spans="1:49" ht="35.25" customHeight="1">
      <c r="A38" s="324" t="s">
        <v>167</v>
      </c>
      <c r="B38" s="325">
        <f>SUM(B24:B37)</f>
        <v>23912</v>
      </c>
      <c r="C38" s="325">
        <f aca="true" t="shared" si="7" ref="C38:J38">SUM(C24:C37)</f>
        <v>281097770</v>
      </c>
      <c r="D38" s="325">
        <f>SUM(D24:D37)</f>
        <v>-4</v>
      </c>
      <c r="E38" s="325">
        <f t="shared" si="7"/>
        <v>-95334.36651820803</v>
      </c>
      <c r="F38" s="325">
        <f t="shared" si="7"/>
        <v>24152</v>
      </c>
      <c r="G38" s="325">
        <f t="shared" si="7"/>
        <v>287230298.9668151</v>
      </c>
      <c r="H38" s="325">
        <f t="shared" si="7"/>
        <v>244</v>
      </c>
      <c r="I38" s="325">
        <f t="shared" si="7"/>
        <v>6227863.333333333</v>
      </c>
      <c r="J38" s="325">
        <f t="shared" si="7"/>
        <v>287014157.6334818</v>
      </c>
      <c r="K38" s="325">
        <f>SUM(K24:K37)</f>
        <v>0</v>
      </c>
      <c r="L38" s="325">
        <f>SUM(L24:L37)</f>
        <v>6011721.999999999</v>
      </c>
      <c r="M38" s="326">
        <f>SUM(M24:M37)</f>
        <v>6011721.999999999</v>
      </c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</row>
    <row r="39" spans="1:49" ht="19.5" customHeight="1">
      <c r="A39" s="324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</row>
    <row r="40" spans="1:49" ht="19.5" customHeight="1">
      <c r="A40" s="324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</row>
    <row r="41" spans="1:49" ht="35.25" customHeight="1">
      <c r="A41" s="312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</row>
    <row r="42" spans="1:49" ht="15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4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</row>
    <row r="43" spans="1:49" ht="15">
      <c r="A43" s="312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4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</row>
    <row r="44" spans="1:49" ht="15">
      <c r="A44" s="31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7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</row>
    <row r="45" spans="1:49" ht="16.5" thickBot="1">
      <c r="A45" s="327" t="s">
        <v>180</v>
      </c>
      <c r="B45" s="328">
        <f>B38</f>
        <v>23912</v>
      </c>
      <c r="C45" s="328">
        <f>C38</f>
        <v>281097770</v>
      </c>
      <c r="D45" s="328">
        <f>D38</f>
        <v>-4</v>
      </c>
      <c r="E45" s="328">
        <f>E38</f>
        <v>-95334.36651820803</v>
      </c>
      <c r="F45" s="328">
        <f aca="true" t="shared" si="8" ref="F45:K45">F38</f>
        <v>24152</v>
      </c>
      <c r="G45" s="328">
        <f t="shared" si="8"/>
        <v>287230298.9668151</v>
      </c>
      <c r="H45" s="328">
        <f t="shared" si="8"/>
        <v>244</v>
      </c>
      <c r="I45" s="328">
        <f t="shared" si="8"/>
        <v>6227863.333333333</v>
      </c>
      <c r="J45" s="328">
        <f t="shared" si="8"/>
        <v>287014157.6334818</v>
      </c>
      <c r="K45" s="328">
        <f t="shared" si="8"/>
        <v>0</v>
      </c>
      <c r="L45" s="328">
        <f>L38</f>
        <v>6011721.999999999</v>
      </c>
      <c r="M45" s="329">
        <f>M38</f>
        <v>6011721.999999999</v>
      </c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</row>
    <row r="46" spans="14:49" ht="34.5" customHeight="1"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</row>
    <row r="47" spans="3:49" ht="12.75">
      <c r="C47" s="240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</row>
    <row r="48" spans="14:49" ht="12.75"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</row>
    <row r="49" spans="14:49" ht="12.75"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</row>
    <row r="50" spans="1:4" ht="12.75" hidden="1">
      <c r="A50" s="158" t="s">
        <v>1056</v>
      </c>
      <c r="B50" s="158">
        <v>209192</v>
      </c>
      <c r="C50" s="158">
        <v>175265</v>
      </c>
      <c r="D50" s="158">
        <v>175265</v>
      </c>
    </row>
  </sheetData>
  <sheetProtection/>
  <mergeCells count="17">
    <mergeCell ref="B15:C15"/>
    <mergeCell ref="F15:G15"/>
    <mergeCell ref="B13:C13"/>
    <mergeCell ref="D13:E13"/>
    <mergeCell ref="F13:G13"/>
    <mergeCell ref="B14:C14"/>
    <mergeCell ref="D14:E14"/>
    <mergeCell ref="H14:I14"/>
    <mergeCell ref="B12:C12"/>
    <mergeCell ref="H15:I15"/>
    <mergeCell ref="A5:M5"/>
    <mergeCell ref="A6:M6"/>
    <mergeCell ref="H13:I13"/>
    <mergeCell ref="J13:K13"/>
    <mergeCell ref="J14:K14"/>
    <mergeCell ref="F14:G14"/>
    <mergeCell ref="D15:E15"/>
  </mergeCells>
  <printOptions horizontalCentered="1" verticalCentered="1"/>
  <pageMargins left="0" right="0" top="0" bottom="0" header="0.63" footer="0.5118110236220472"/>
  <pageSetup horizontalDpi="300" verticalDpi="3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22">
      <selection activeCell="B30" sqref="B30"/>
    </sheetView>
  </sheetViews>
  <sheetFormatPr defaultColWidth="9.00390625" defaultRowHeight="12.75"/>
  <cols>
    <col min="1" max="1" width="56.75390625" style="87" customWidth="1"/>
    <col min="2" max="2" width="13.75390625" style="87" customWidth="1"/>
    <col min="3" max="3" width="2.75390625" style="87" customWidth="1"/>
    <col min="4" max="4" width="13.75390625" style="87" customWidth="1"/>
    <col min="5" max="5" width="2.75390625" style="87" customWidth="1"/>
    <col min="6" max="6" width="13.75390625" style="87" customWidth="1"/>
    <col min="7" max="7" width="2.75390625" style="87" customWidth="1"/>
    <col min="8" max="8" width="13.75390625" style="87" customWidth="1"/>
    <col min="9" max="9" width="2.75390625" style="87" customWidth="1"/>
    <col min="10" max="16384" width="9.125" style="87" customWidth="1"/>
  </cols>
  <sheetData>
    <row r="1" spans="1:16" ht="15.75">
      <c r="A1" s="15"/>
      <c r="B1" s="15"/>
      <c r="C1" s="15"/>
      <c r="D1" s="15"/>
      <c r="E1" s="15"/>
      <c r="F1" s="15"/>
      <c r="G1" s="15"/>
      <c r="H1" s="15"/>
      <c r="I1" s="334" t="s">
        <v>1239</v>
      </c>
      <c r="J1" s="15"/>
      <c r="K1" s="15"/>
      <c r="L1" s="15"/>
      <c r="M1" s="15"/>
      <c r="N1" s="15"/>
      <c r="O1" s="15"/>
      <c r="P1" s="15"/>
    </row>
    <row r="2" spans="1:16" ht="15.75">
      <c r="A2" s="15"/>
      <c r="B2" s="15"/>
      <c r="C2" s="15"/>
      <c r="D2" s="15"/>
      <c r="E2" s="15"/>
      <c r="G2" s="15"/>
      <c r="H2" s="15"/>
      <c r="I2" s="334" t="s">
        <v>71</v>
      </c>
      <c r="J2" s="15"/>
      <c r="K2" s="15"/>
      <c r="L2" s="15"/>
      <c r="M2" s="15"/>
      <c r="N2" s="15"/>
      <c r="O2" s="15"/>
      <c r="P2" s="15"/>
    </row>
    <row r="3" spans="1:16" ht="15.75">
      <c r="A3" s="15"/>
      <c r="B3" s="15"/>
      <c r="C3" s="15"/>
      <c r="D3" s="15"/>
      <c r="E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>
      <c r="A5" s="241"/>
      <c r="B5" s="241"/>
      <c r="C5" s="241"/>
      <c r="D5" s="241"/>
      <c r="E5" s="241"/>
      <c r="F5" s="241"/>
      <c r="G5" s="241"/>
      <c r="H5" s="242"/>
      <c r="I5" s="242"/>
      <c r="J5" s="242"/>
      <c r="K5" s="242"/>
      <c r="L5" s="242"/>
      <c r="M5" s="242"/>
      <c r="N5" s="242"/>
      <c r="O5" s="242"/>
      <c r="P5" s="242"/>
    </row>
    <row r="6" spans="1:16" ht="15.75">
      <c r="A6" s="2346" t="s">
        <v>1244</v>
      </c>
      <c r="B6" s="2346"/>
      <c r="C6" s="2346"/>
      <c r="D6" s="2346"/>
      <c r="E6" s="2346"/>
      <c r="F6" s="2346"/>
      <c r="G6" s="2346"/>
      <c r="H6" s="2346"/>
      <c r="I6" s="2346"/>
      <c r="J6" s="15"/>
      <c r="K6" s="15"/>
      <c r="L6" s="15"/>
      <c r="M6" s="15"/>
      <c r="N6" s="15"/>
      <c r="O6" s="15"/>
      <c r="P6" s="15"/>
    </row>
    <row r="7" spans="1:16" ht="15.75">
      <c r="A7" s="2347" t="s">
        <v>72</v>
      </c>
      <c r="B7" s="2347"/>
      <c r="C7" s="2347"/>
      <c r="D7" s="2347"/>
      <c r="E7" s="2347"/>
      <c r="F7" s="2347"/>
      <c r="G7" s="2347"/>
      <c r="H7" s="2347"/>
      <c r="I7" s="2347"/>
      <c r="J7" s="15"/>
      <c r="K7" s="15"/>
      <c r="L7" s="15"/>
      <c r="M7" s="15"/>
      <c r="N7" s="15"/>
      <c r="O7" s="15"/>
      <c r="P7" s="15"/>
    </row>
    <row r="8" spans="1:16" ht="15.75">
      <c r="A8" s="2346"/>
      <c r="B8" s="2346"/>
      <c r="C8" s="2346"/>
      <c r="D8" s="2346"/>
      <c r="E8" s="2346"/>
      <c r="F8" s="2346"/>
      <c r="G8" s="2346"/>
      <c r="H8" s="2346"/>
      <c r="I8" s="2346"/>
      <c r="J8" s="15"/>
      <c r="K8" s="15"/>
      <c r="L8" s="15"/>
      <c r="M8" s="15"/>
      <c r="N8" s="15"/>
      <c r="O8" s="15"/>
      <c r="P8" s="15"/>
    </row>
    <row r="9" spans="1:16" ht="15.75">
      <c r="A9" s="537"/>
      <c r="B9" s="537"/>
      <c r="C9" s="537"/>
      <c r="D9" s="537"/>
      <c r="E9" s="537"/>
      <c r="F9" s="537"/>
      <c r="G9" s="537"/>
      <c r="H9" s="537"/>
      <c r="I9" s="537"/>
      <c r="J9" s="15"/>
      <c r="K9" s="15"/>
      <c r="L9" s="15"/>
      <c r="M9" s="15"/>
      <c r="N9" s="15"/>
      <c r="O9" s="15"/>
      <c r="P9" s="15"/>
    </row>
    <row r="10" spans="1:16" ht="15.75">
      <c r="A10" s="537"/>
      <c r="B10" s="537"/>
      <c r="C10" s="537"/>
      <c r="D10" s="537"/>
      <c r="E10" s="537"/>
      <c r="F10" s="537"/>
      <c r="G10" s="537"/>
      <c r="H10" s="537"/>
      <c r="I10" s="537"/>
      <c r="J10" s="15"/>
      <c r="K10" s="15"/>
      <c r="L10" s="15"/>
      <c r="M10" s="15"/>
      <c r="N10" s="15"/>
      <c r="O10" s="15"/>
      <c r="P10" s="15"/>
    </row>
    <row r="11" spans="1:16" ht="16.5" thickBot="1">
      <c r="A11" s="538"/>
      <c r="B11" s="538"/>
      <c r="C11" s="538"/>
      <c r="D11" s="538"/>
      <c r="E11" s="538"/>
      <c r="F11" s="538"/>
      <c r="G11" s="538"/>
      <c r="H11" s="538"/>
      <c r="I11" s="538"/>
      <c r="J11" s="15"/>
      <c r="K11" s="15"/>
      <c r="L11" s="15"/>
      <c r="M11" s="15"/>
      <c r="N11" s="15"/>
      <c r="O11" s="15"/>
      <c r="P11" s="15"/>
    </row>
    <row r="12" spans="1:16" ht="15.75">
      <c r="A12" s="243"/>
      <c r="B12" s="2344" t="s">
        <v>239</v>
      </c>
      <c r="C12" s="2348"/>
      <c r="D12" s="2349" t="s">
        <v>653</v>
      </c>
      <c r="E12" s="2350"/>
      <c r="F12" s="2349"/>
      <c r="G12" s="2351"/>
      <c r="H12" s="248"/>
      <c r="I12" s="249"/>
      <c r="J12" s="15"/>
      <c r="K12" s="15"/>
      <c r="L12" s="15"/>
      <c r="M12" s="15"/>
      <c r="N12" s="15"/>
      <c r="O12" s="15"/>
      <c r="P12" s="15"/>
    </row>
    <row r="13" spans="1:16" ht="15.75">
      <c r="A13" s="250" t="s">
        <v>494</v>
      </c>
      <c r="B13" s="2344" t="s">
        <v>240</v>
      </c>
      <c r="C13" s="2348"/>
      <c r="D13" s="2344" t="s">
        <v>654</v>
      </c>
      <c r="E13" s="2348"/>
      <c r="F13" s="2344" t="s">
        <v>752</v>
      </c>
      <c r="G13" s="2352"/>
      <c r="H13" s="2344" t="s">
        <v>755</v>
      </c>
      <c r="I13" s="2345"/>
      <c r="J13" s="15"/>
      <c r="K13" s="15"/>
      <c r="L13" s="15"/>
      <c r="M13" s="15"/>
      <c r="N13" s="15"/>
      <c r="O13" s="15"/>
      <c r="P13" s="15"/>
    </row>
    <row r="14" spans="1:16" ht="15.75">
      <c r="A14" s="243"/>
      <c r="B14" s="2344" t="s">
        <v>266</v>
      </c>
      <c r="C14" s="2348"/>
      <c r="D14" s="2344" t="s">
        <v>750</v>
      </c>
      <c r="E14" s="2348"/>
      <c r="F14" s="2344" t="s">
        <v>753</v>
      </c>
      <c r="G14" s="2352"/>
      <c r="H14" s="2344" t="s">
        <v>151</v>
      </c>
      <c r="I14" s="2345"/>
      <c r="J14" s="15"/>
      <c r="K14" s="15"/>
      <c r="L14" s="15"/>
      <c r="M14" s="15"/>
      <c r="N14" s="15"/>
      <c r="O14" s="15"/>
      <c r="P14" s="15"/>
    </row>
    <row r="15" spans="1:16" ht="15.75">
      <c r="A15" s="243"/>
      <c r="B15" s="2344" t="s">
        <v>267</v>
      </c>
      <c r="C15" s="2348"/>
      <c r="D15" s="2344" t="s">
        <v>751</v>
      </c>
      <c r="E15" s="2348"/>
      <c r="F15" s="2344" t="s">
        <v>754</v>
      </c>
      <c r="G15" s="2352"/>
      <c r="H15" s="2344"/>
      <c r="I15" s="2345"/>
      <c r="J15" s="15"/>
      <c r="K15" s="15"/>
      <c r="L15" s="15"/>
      <c r="M15" s="15"/>
      <c r="N15" s="15"/>
      <c r="O15" s="15"/>
      <c r="P15" s="15"/>
    </row>
    <row r="16" spans="1:16" ht="15.75">
      <c r="A16" s="255"/>
      <c r="B16" s="2360" t="s">
        <v>879</v>
      </c>
      <c r="C16" s="2361"/>
      <c r="D16" s="256"/>
      <c r="E16" s="257"/>
      <c r="F16" s="251"/>
      <c r="G16" s="254"/>
      <c r="H16" s="251"/>
      <c r="I16" s="252"/>
      <c r="J16" s="15"/>
      <c r="K16" s="15"/>
      <c r="L16" s="15"/>
      <c r="M16" s="15"/>
      <c r="N16" s="15"/>
      <c r="O16" s="15"/>
      <c r="P16" s="15"/>
    </row>
    <row r="17" spans="1:16" ht="15.75">
      <c r="A17" s="258">
        <v>1</v>
      </c>
      <c r="B17" s="2354">
        <v>2</v>
      </c>
      <c r="C17" s="2362"/>
      <c r="D17" s="2354">
        <v>3</v>
      </c>
      <c r="E17" s="2362"/>
      <c r="F17" s="2354">
        <v>4</v>
      </c>
      <c r="G17" s="2355"/>
      <c r="H17" s="2354">
        <v>5</v>
      </c>
      <c r="I17" s="2367"/>
      <c r="J17" s="15"/>
      <c r="K17" s="15"/>
      <c r="L17" s="15"/>
      <c r="M17" s="15"/>
      <c r="N17" s="15"/>
      <c r="O17" s="15"/>
      <c r="P17" s="15"/>
    </row>
    <row r="18" spans="1:16" ht="15.75">
      <c r="A18" s="259"/>
      <c r="B18" s="246"/>
      <c r="C18" s="247"/>
      <c r="D18" s="246"/>
      <c r="E18" s="247"/>
      <c r="F18" s="244"/>
      <c r="G18" s="260"/>
      <c r="H18" s="246"/>
      <c r="I18" s="261"/>
      <c r="J18" s="15"/>
      <c r="K18" s="15"/>
      <c r="L18" s="15"/>
      <c r="M18" s="15"/>
      <c r="N18" s="15"/>
      <c r="O18" s="15"/>
      <c r="P18" s="15"/>
    </row>
    <row r="19" spans="1:49" ht="30" customHeight="1">
      <c r="A19" s="262" t="s">
        <v>1234</v>
      </c>
      <c r="B19" s="539">
        <v>55753</v>
      </c>
      <c r="C19" s="540"/>
      <c r="D19" s="539">
        <v>55753</v>
      </c>
      <c r="E19" s="540"/>
      <c r="F19" s="251"/>
      <c r="G19" s="264"/>
      <c r="H19" s="251"/>
      <c r="I19" s="252"/>
      <c r="J19" s="53"/>
      <c r="K19" s="53"/>
      <c r="L19" s="53"/>
      <c r="M19" s="53"/>
      <c r="N19" s="53"/>
      <c r="O19" s="53"/>
      <c r="P19" s="53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</row>
    <row r="20" spans="1:49" ht="30" customHeight="1">
      <c r="A20" s="262" t="s">
        <v>1235</v>
      </c>
      <c r="B20" s="539">
        <v>577</v>
      </c>
      <c r="C20" s="541"/>
      <c r="D20" s="539">
        <v>577</v>
      </c>
      <c r="E20" s="541"/>
      <c r="F20" s="251"/>
      <c r="G20" s="264"/>
      <c r="H20" s="251"/>
      <c r="I20" s="252"/>
      <c r="J20" s="53"/>
      <c r="K20" s="53"/>
      <c r="L20" s="53"/>
      <c r="M20" s="53"/>
      <c r="N20" s="53"/>
      <c r="O20" s="53"/>
      <c r="P20" s="53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</row>
    <row r="21" spans="1:49" ht="30" customHeight="1">
      <c r="A21" s="262" t="s">
        <v>652</v>
      </c>
      <c r="B21" s="539">
        <v>65652</v>
      </c>
      <c r="C21" s="263"/>
      <c r="D21" s="539">
        <v>65652</v>
      </c>
      <c r="E21" s="263"/>
      <c r="F21" s="251"/>
      <c r="G21" s="264"/>
      <c r="H21" s="251"/>
      <c r="I21" s="252"/>
      <c r="J21" s="53"/>
      <c r="K21" s="53"/>
      <c r="L21" s="53"/>
      <c r="M21" s="53"/>
      <c r="N21" s="53"/>
      <c r="O21" s="53"/>
      <c r="P21" s="53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</row>
    <row r="22" spans="1:49" ht="30" customHeight="1">
      <c r="A22" s="262" t="s">
        <v>1236</v>
      </c>
      <c r="B22" s="539">
        <v>11604</v>
      </c>
      <c r="C22" s="263"/>
      <c r="D22" s="539">
        <v>11604</v>
      </c>
      <c r="E22" s="265"/>
      <c r="F22" s="251"/>
      <c r="G22" s="264"/>
      <c r="H22" s="251"/>
      <c r="I22" s="252"/>
      <c r="J22" s="53"/>
      <c r="K22" s="53"/>
      <c r="L22" s="53"/>
      <c r="M22" s="53"/>
      <c r="N22" s="53"/>
      <c r="O22" s="53"/>
      <c r="P22" s="53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</row>
    <row r="23" spans="1:49" ht="15.75">
      <c r="A23" s="262"/>
      <c r="B23" s="244"/>
      <c r="C23" s="263"/>
      <c r="D23" s="244"/>
      <c r="E23" s="263"/>
      <c r="F23" s="244"/>
      <c r="G23" s="265"/>
      <c r="H23" s="244"/>
      <c r="I23" s="253"/>
      <c r="J23" s="53"/>
      <c r="K23" s="53"/>
      <c r="L23" s="53"/>
      <c r="M23" s="53"/>
      <c r="N23" s="53"/>
      <c r="O23" s="53"/>
      <c r="P23" s="53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</row>
    <row r="24" spans="1:49" ht="15.75">
      <c r="A24" s="262"/>
      <c r="B24" s="2344"/>
      <c r="C24" s="2353"/>
      <c r="D24" s="2344"/>
      <c r="E24" s="2353"/>
      <c r="F24" s="244"/>
      <c r="G24" s="265"/>
      <c r="H24" s="244"/>
      <c r="I24" s="253"/>
      <c r="J24" s="53"/>
      <c r="K24" s="53"/>
      <c r="L24" s="53"/>
      <c r="M24" s="53"/>
      <c r="N24" s="53"/>
      <c r="O24" s="53"/>
      <c r="P24" s="53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</row>
    <row r="25" spans="1:49" ht="15.75">
      <c r="A25" s="262"/>
      <c r="B25" s="244"/>
      <c r="C25" s="263"/>
      <c r="D25" s="244"/>
      <c r="E25" s="263"/>
      <c r="F25" s="244"/>
      <c r="G25" s="265"/>
      <c r="H25" s="244"/>
      <c r="I25" s="253"/>
      <c r="J25" s="53"/>
      <c r="K25" s="53"/>
      <c r="L25" s="53"/>
      <c r="M25" s="53"/>
      <c r="N25" s="53"/>
      <c r="O25" s="53"/>
      <c r="P25" s="53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</row>
    <row r="26" spans="1:49" ht="15.75">
      <c r="A26" s="262"/>
      <c r="B26" s="244"/>
      <c r="C26" s="263"/>
      <c r="D26" s="244"/>
      <c r="E26" s="263"/>
      <c r="F26" s="244"/>
      <c r="G26" s="265"/>
      <c r="H26" s="244"/>
      <c r="I26" s="253"/>
      <c r="J26" s="53"/>
      <c r="K26" s="53"/>
      <c r="L26" s="53"/>
      <c r="M26" s="53"/>
      <c r="N26" s="53"/>
      <c r="O26" s="53"/>
      <c r="P26" s="53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</row>
    <row r="27" spans="1:49" ht="15.75">
      <c r="A27" s="262"/>
      <c r="B27" s="244"/>
      <c r="C27" s="245"/>
      <c r="D27" s="244"/>
      <c r="E27" s="245"/>
      <c r="F27" s="244"/>
      <c r="G27" s="260"/>
      <c r="H27" s="244"/>
      <c r="I27" s="253"/>
      <c r="J27" s="53"/>
      <c r="K27" s="53"/>
      <c r="L27" s="53"/>
      <c r="M27" s="53"/>
      <c r="N27" s="53"/>
      <c r="O27" s="53"/>
      <c r="P27" s="53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</row>
    <row r="28" spans="1:49" ht="30" customHeight="1">
      <c r="A28" s="1220" t="s">
        <v>1107</v>
      </c>
      <c r="B28" s="1221">
        <f>SUM(B19:B22)</f>
        <v>133586</v>
      </c>
      <c r="C28" s="1222"/>
      <c r="D28" s="1221">
        <f>SUM(D19:E22)</f>
        <v>133586</v>
      </c>
      <c r="E28" s="1222"/>
      <c r="F28" s="2363">
        <f>SUM(F19:G22)</f>
        <v>0</v>
      </c>
      <c r="G28" s="2364"/>
      <c r="H28" s="2363">
        <f>SUM(H19:H27)</f>
        <v>0</v>
      </c>
      <c r="I28" s="2366"/>
      <c r="J28" s="266"/>
      <c r="K28" s="266"/>
      <c r="L28" s="266"/>
      <c r="M28" s="266"/>
      <c r="N28" s="266"/>
      <c r="O28" s="266"/>
      <c r="P28" s="266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</row>
    <row r="29" spans="1:49" ht="30" customHeight="1">
      <c r="A29" s="268"/>
      <c r="B29" s="244"/>
      <c r="C29" s="263"/>
      <c r="D29" s="244"/>
      <c r="E29" s="263"/>
      <c r="F29" s="244"/>
      <c r="G29" s="265"/>
      <c r="H29" s="244"/>
      <c r="I29" s="269"/>
      <c r="J29" s="53"/>
      <c r="K29" s="53"/>
      <c r="L29" s="53"/>
      <c r="M29" s="53"/>
      <c r="N29" s="53"/>
      <c r="O29" s="53"/>
      <c r="P29" s="5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</row>
    <row r="30" spans="1:49" ht="30" customHeight="1">
      <c r="A30" s="268" t="s">
        <v>1238</v>
      </c>
      <c r="B30" s="779">
        <v>5806</v>
      </c>
      <c r="C30" s="780"/>
      <c r="D30" s="779">
        <v>5806</v>
      </c>
      <c r="E30" s="780"/>
      <c r="F30" s="270"/>
      <c r="G30" s="271"/>
      <c r="H30" s="270"/>
      <c r="I30" s="272"/>
      <c r="J30" s="266"/>
      <c r="K30" s="266"/>
      <c r="L30" s="266"/>
      <c r="M30" s="266"/>
      <c r="N30" s="266"/>
      <c r="O30" s="266"/>
      <c r="P30" s="266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</row>
    <row r="31" spans="1:49" ht="30" customHeight="1">
      <c r="A31" s="268" t="s">
        <v>1237</v>
      </c>
      <c r="B31" s="779">
        <v>101482</v>
      </c>
      <c r="C31" s="780"/>
      <c r="D31" s="779">
        <v>101482</v>
      </c>
      <c r="E31" s="780"/>
      <c r="F31" s="270"/>
      <c r="G31" s="271"/>
      <c r="H31" s="270">
        <f>D31-B31</f>
        <v>0</v>
      </c>
      <c r="I31" s="272"/>
      <c r="J31" s="266"/>
      <c r="K31" s="266"/>
      <c r="L31" s="266"/>
      <c r="M31" s="266"/>
      <c r="N31" s="266"/>
      <c r="O31" s="266"/>
      <c r="P31" s="266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</row>
    <row r="32" spans="1:49" ht="30" customHeight="1">
      <c r="A32" s="268"/>
      <c r="B32" s="2356"/>
      <c r="C32" s="2357"/>
      <c r="D32" s="2356"/>
      <c r="E32" s="2357"/>
      <c r="F32" s="270"/>
      <c r="G32" s="271"/>
      <c r="H32" s="270"/>
      <c r="I32" s="272"/>
      <c r="J32" s="266"/>
      <c r="K32" s="266"/>
      <c r="L32" s="266"/>
      <c r="M32" s="266"/>
      <c r="N32" s="266"/>
      <c r="O32" s="266"/>
      <c r="P32" s="266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</row>
    <row r="33" spans="1:49" ht="30" customHeight="1">
      <c r="A33" s="268"/>
      <c r="B33" s="270"/>
      <c r="C33" s="1218"/>
      <c r="D33" s="270"/>
      <c r="E33" s="1218"/>
      <c r="F33" s="270"/>
      <c r="G33" s="271"/>
      <c r="H33" s="270"/>
      <c r="I33" s="272"/>
      <c r="J33" s="266"/>
      <c r="K33" s="266"/>
      <c r="L33" s="266"/>
      <c r="M33" s="266"/>
      <c r="N33" s="266"/>
      <c r="O33" s="266"/>
      <c r="P33" s="266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</row>
    <row r="34" spans="1:49" ht="16.5" thickBot="1">
      <c r="A34" s="268"/>
      <c r="B34" s="244"/>
      <c r="C34" s="263"/>
      <c r="D34" s="244"/>
      <c r="E34" s="263"/>
      <c r="F34" s="244"/>
      <c r="G34" s="265"/>
      <c r="H34" s="244"/>
      <c r="I34" s="269"/>
      <c r="J34" s="53"/>
      <c r="K34" s="53"/>
      <c r="L34" s="53"/>
      <c r="M34" s="53"/>
      <c r="N34" s="53"/>
      <c r="O34" s="53"/>
      <c r="P34" s="53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</row>
    <row r="35" spans="1:49" ht="30" customHeight="1" thickBot="1">
      <c r="A35" s="1219" t="s">
        <v>462</v>
      </c>
      <c r="B35" s="2358">
        <f>SUM(B28:B34)</f>
        <v>240874</v>
      </c>
      <c r="C35" s="2359"/>
      <c r="D35" s="2358">
        <f>SUM(D28:D34)</f>
        <v>240874</v>
      </c>
      <c r="E35" s="2359"/>
      <c r="F35" s="2358">
        <f>SUM(F28:F34)</f>
        <v>0</v>
      </c>
      <c r="G35" s="2359"/>
      <c r="H35" s="2358">
        <f>SUM(H28:H34)</f>
        <v>0</v>
      </c>
      <c r="I35" s="2365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</row>
  </sheetData>
  <sheetProtection/>
  <mergeCells count="33">
    <mergeCell ref="F35:G35"/>
    <mergeCell ref="F28:G28"/>
    <mergeCell ref="H15:I15"/>
    <mergeCell ref="H14:I14"/>
    <mergeCell ref="H35:I35"/>
    <mergeCell ref="H28:I28"/>
    <mergeCell ref="H17:I17"/>
    <mergeCell ref="B32:C32"/>
    <mergeCell ref="D32:E32"/>
    <mergeCell ref="B35:C35"/>
    <mergeCell ref="B15:C15"/>
    <mergeCell ref="B16:C16"/>
    <mergeCell ref="B17:C17"/>
    <mergeCell ref="D17:E17"/>
    <mergeCell ref="D35:E35"/>
    <mergeCell ref="B14:C14"/>
    <mergeCell ref="D14:E14"/>
    <mergeCell ref="F14:G14"/>
    <mergeCell ref="B24:C24"/>
    <mergeCell ref="D24:E24"/>
    <mergeCell ref="D15:E15"/>
    <mergeCell ref="F15:G15"/>
    <mergeCell ref="F17:G17"/>
    <mergeCell ref="H13:I13"/>
    <mergeCell ref="A6:I6"/>
    <mergeCell ref="A8:I8"/>
    <mergeCell ref="A7:I7"/>
    <mergeCell ref="B12:C12"/>
    <mergeCell ref="D12:E12"/>
    <mergeCell ref="F12:G12"/>
    <mergeCell ref="B13:C13"/>
    <mergeCell ref="D13:E13"/>
    <mergeCell ref="F13:G13"/>
  </mergeCells>
  <printOptions horizontalCentered="1" verticalCentered="1"/>
  <pageMargins left="0" right="0" top="0.62" bottom="0.984251968503937" header="0.32" footer="0.5118110236220472"/>
  <pageSetup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B1">
      <selection activeCell="O2" sqref="O2"/>
    </sheetView>
  </sheetViews>
  <sheetFormatPr defaultColWidth="9.00390625" defaultRowHeight="12.75"/>
  <cols>
    <col min="1" max="1" width="30.875" style="1" bestFit="1" customWidth="1"/>
    <col min="2" max="2" width="9.125" style="1" customWidth="1"/>
    <col min="3" max="3" width="8.75390625" style="1" customWidth="1"/>
    <col min="4" max="4" width="9.75390625" style="1" customWidth="1"/>
    <col min="5" max="5" width="9.875" style="1" customWidth="1"/>
    <col min="6" max="6" width="10.375" style="1" customWidth="1"/>
    <col min="7" max="7" width="10.125" style="1" customWidth="1"/>
    <col min="8" max="8" width="11.125" style="1" customWidth="1"/>
    <col min="9" max="9" width="8.375" style="1" customWidth="1"/>
    <col min="10" max="10" width="8.25390625" style="1" customWidth="1"/>
    <col min="11" max="11" width="8.625" style="1" customWidth="1"/>
    <col min="12" max="12" width="10.375" style="1" customWidth="1"/>
    <col min="13" max="16384" width="9.125" style="1" customWidth="1"/>
  </cols>
  <sheetData>
    <row r="1" spans="13:15" ht="15.75">
      <c r="M1" s="275"/>
      <c r="O1" s="334" t="s">
        <v>459</v>
      </c>
    </row>
    <row r="2" spans="13:15" ht="15.75">
      <c r="M2" s="46"/>
      <c r="O2" s="242" t="s">
        <v>71</v>
      </c>
    </row>
    <row r="4" spans="3:13" ht="15.75">
      <c r="C4" s="2389" t="s">
        <v>232</v>
      </c>
      <c r="D4" s="2389"/>
      <c r="E4" s="2389"/>
      <c r="F4" s="2389"/>
      <c r="G4" s="2389"/>
      <c r="H4" s="2389"/>
      <c r="I4" s="2389"/>
      <c r="J4" s="2389"/>
      <c r="K4" s="2389"/>
      <c r="L4" s="2389"/>
      <c r="M4" s="2389"/>
    </row>
    <row r="5" ht="15.75">
      <c r="H5" s="1" t="s">
        <v>72</v>
      </c>
    </row>
    <row r="7" ht="16.5" thickBot="1"/>
    <row r="8" spans="1:15" ht="15.75">
      <c r="A8" s="2368" t="s">
        <v>494</v>
      </c>
      <c r="B8" s="2371" t="s">
        <v>463</v>
      </c>
      <c r="C8" s="2372"/>
      <c r="D8" s="2373"/>
      <c r="E8" s="2374" t="s">
        <v>464</v>
      </c>
      <c r="F8" s="2375"/>
      <c r="G8" s="2376"/>
      <c r="H8" s="2374" t="s">
        <v>465</v>
      </c>
      <c r="I8" s="2375"/>
      <c r="J8" s="2375"/>
      <c r="K8" s="2376"/>
      <c r="L8" s="2374" t="s">
        <v>465</v>
      </c>
      <c r="M8" s="2375"/>
      <c r="N8" s="2375"/>
      <c r="O8" s="2376"/>
    </row>
    <row r="9" spans="1:15" s="282" customFormat="1" ht="15.75">
      <c r="A9" s="2369"/>
      <c r="B9" s="2377" t="s">
        <v>466</v>
      </c>
      <c r="C9" s="2379" t="s">
        <v>467</v>
      </c>
      <c r="D9" s="2380"/>
      <c r="E9" s="2381" t="s">
        <v>468</v>
      </c>
      <c r="F9" s="2384" t="s">
        <v>151</v>
      </c>
      <c r="G9" s="2385"/>
      <c r="H9" s="2381" t="s">
        <v>469</v>
      </c>
      <c r="I9" s="2384" t="s">
        <v>151</v>
      </c>
      <c r="J9" s="2386"/>
      <c r="K9" s="2385"/>
      <c r="L9" s="2381" t="s">
        <v>470</v>
      </c>
      <c r="M9" s="2384" t="s">
        <v>471</v>
      </c>
      <c r="N9" s="2386"/>
      <c r="O9" s="2385"/>
    </row>
    <row r="10" spans="1:15" s="282" customFormat="1" ht="15.75">
      <c r="A10" s="2369"/>
      <c r="B10" s="2377"/>
      <c r="C10" s="283" t="s">
        <v>50</v>
      </c>
      <c r="D10" s="284" t="s">
        <v>472</v>
      </c>
      <c r="E10" s="2382"/>
      <c r="F10" s="2390" t="s">
        <v>473</v>
      </c>
      <c r="G10" s="2392" t="s">
        <v>474</v>
      </c>
      <c r="H10" s="2382"/>
      <c r="I10" s="279" t="s">
        <v>475</v>
      </c>
      <c r="J10" s="279" t="s">
        <v>476</v>
      </c>
      <c r="K10" s="280" t="s">
        <v>477</v>
      </c>
      <c r="L10" s="2382"/>
      <c r="M10" s="279" t="s">
        <v>475</v>
      </c>
      <c r="N10" s="281" t="s">
        <v>476</v>
      </c>
      <c r="O10" s="285" t="s">
        <v>879</v>
      </c>
    </row>
    <row r="11" spans="1:15" s="282" customFormat="1" ht="24.75" customHeight="1" thickBot="1">
      <c r="A11" s="2370"/>
      <c r="B11" s="2378"/>
      <c r="C11" s="2394" t="s">
        <v>4</v>
      </c>
      <c r="D11" s="2395"/>
      <c r="E11" s="2383"/>
      <c r="F11" s="2391"/>
      <c r="G11" s="2393"/>
      <c r="H11" s="2383"/>
      <c r="I11" s="2387" t="s">
        <v>478</v>
      </c>
      <c r="J11" s="2396"/>
      <c r="K11" s="2397"/>
      <c r="L11" s="2383"/>
      <c r="M11" s="2387" t="s">
        <v>478</v>
      </c>
      <c r="N11" s="2388"/>
      <c r="O11" s="286"/>
    </row>
    <row r="12" spans="1:15" ht="15.75">
      <c r="A12" s="276">
        <v>1</v>
      </c>
      <c r="B12" s="277">
        <v>2</v>
      </c>
      <c r="C12" s="277">
        <v>3</v>
      </c>
      <c r="D12" s="277">
        <v>4</v>
      </c>
      <c r="E12" s="277">
        <v>5</v>
      </c>
      <c r="F12" s="277">
        <v>6</v>
      </c>
      <c r="G12" s="277">
        <v>7</v>
      </c>
      <c r="H12" s="277">
        <v>8</v>
      </c>
      <c r="I12" s="277">
        <v>9</v>
      </c>
      <c r="J12" s="277">
        <v>10</v>
      </c>
      <c r="K12" s="277">
        <v>11</v>
      </c>
      <c r="L12" s="277">
        <v>12</v>
      </c>
      <c r="M12" s="277">
        <v>13</v>
      </c>
      <c r="N12" s="277">
        <v>14</v>
      </c>
      <c r="O12" s="278">
        <v>15</v>
      </c>
    </row>
    <row r="13" spans="1:15" ht="15.75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9"/>
    </row>
    <row r="14" spans="1:15" ht="15.75">
      <c r="A14" s="290" t="s">
        <v>321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2"/>
    </row>
    <row r="15" spans="1:15" ht="27" customHeight="1" hidden="1">
      <c r="A15" s="293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1:15" ht="15.75" hidden="1">
      <c r="A16" s="293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</row>
    <row r="17" spans="1:15" ht="15.75" hidden="1">
      <c r="A17" s="293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s="295" customFormat="1" ht="15.75" hidden="1">
      <c r="A18" s="290" t="s">
        <v>333</v>
      </c>
      <c r="B18" s="88">
        <f aca="true" t="shared" si="0" ref="B18:O18">SUM(B15:B17)</f>
        <v>0</v>
      </c>
      <c r="C18" s="88">
        <f t="shared" si="0"/>
        <v>0</v>
      </c>
      <c r="D18" s="88">
        <f t="shared" si="0"/>
        <v>0</v>
      </c>
      <c r="E18" s="88">
        <f t="shared" si="0"/>
        <v>0</v>
      </c>
      <c r="F18" s="88">
        <f t="shared" si="0"/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  <c r="K18" s="88">
        <f t="shared" si="0"/>
        <v>0</v>
      </c>
      <c r="L18" s="88">
        <f t="shared" si="0"/>
        <v>0</v>
      </c>
      <c r="M18" s="88">
        <f t="shared" si="0"/>
        <v>0</v>
      </c>
      <c r="N18" s="88">
        <f t="shared" si="0"/>
        <v>0</v>
      </c>
      <c r="O18" s="294">
        <f t="shared" si="0"/>
        <v>0</v>
      </c>
    </row>
    <row r="19" spans="1:15" ht="15.75" hidden="1">
      <c r="A19" s="293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15.75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8"/>
    </row>
    <row r="21" spans="1:15" ht="15.75">
      <c r="A21" s="293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15" ht="15.75">
      <c r="A22" s="290" t="s">
        <v>184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1:15" ht="15.75" hidden="1">
      <c r="A23" s="293" t="s">
        <v>334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27" customHeight="1">
      <c r="A24" s="299" t="s">
        <v>1055</v>
      </c>
      <c r="B24" s="80">
        <v>49901</v>
      </c>
      <c r="C24" s="80">
        <v>24950</v>
      </c>
      <c r="D24" s="80">
        <v>24907</v>
      </c>
      <c r="E24" s="80">
        <v>49858</v>
      </c>
      <c r="F24" s="80">
        <v>0</v>
      </c>
      <c r="G24" s="80">
        <v>0</v>
      </c>
      <c r="H24" s="80">
        <v>0</v>
      </c>
      <c r="I24" s="80">
        <v>0</v>
      </c>
      <c r="J24" s="80">
        <v>24907</v>
      </c>
      <c r="K24" s="80">
        <v>24907</v>
      </c>
      <c r="L24" s="80">
        <v>0</v>
      </c>
      <c r="M24" s="80">
        <v>0</v>
      </c>
      <c r="N24" s="80">
        <v>24907</v>
      </c>
      <c r="O24" s="81">
        <v>24907</v>
      </c>
    </row>
    <row r="25" spans="1:15" ht="15.75" hidden="1">
      <c r="A25" s="299" t="s">
        <v>335</v>
      </c>
      <c r="B25" s="80">
        <v>0</v>
      </c>
      <c r="C25" s="80"/>
      <c r="D25" s="80">
        <v>0</v>
      </c>
      <c r="E25" s="80">
        <v>0</v>
      </c>
      <c r="F25" s="80">
        <v>0</v>
      </c>
      <c r="G25" s="80"/>
      <c r="H25" s="80">
        <v>0</v>
      </c>
      <c r="I25" s="80">
        <v>0</v>
      </c>
      <c r="J25" s="80"/>
      <c r="K25" s="80">
        <v>0</v>
      </c>
      <c r="L25" s="80">
        <v>0</v>
      </c>
      <c r="M25" s="80">
        <v>0</v>
      </c>
      <c r="N25" s="80"/>
      <c r="O25" s="81">
        <v>0</v>
      </c>
    </row>
    <row r="26" spans="1:15" ht="15.75">
      <c r="A26" s="293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</row>
    <row r="27" spans="1:15" s="295" customFormat="1" ht="15.75">
      <c r="A27" s="290" t="s">
        <v>1045</v>
      </c>
      <c r="B27" s="88">
        <f aca="true" t="shared" si="1" ref="B27:O27">SUM(B24:B26)</f>
        <v>49901</v>
      </c>
      <c r="C27" s="88">
        <f t="shared" si="1"/>
        <v>24950</v>
      </c>
      <c r="D27" s="88">
        <f t="shared" si="1"/>
        <v>24907</v>
      </c>
      <c r="E27" s="88">
        <f t="shared" si="1"/>
        <v>49858</v>
      </c>
      <c r="F27" s="88">
        <f t="shared" si="1"/>
        <v>0</v>
      </c>
      <c r="G27" s="88">
        <f t="shared" si="1"/>
        <v>0</v>
      </c>
      <c r="H27" s="88">
        <f t="shared" si="1"/>
        <v>0</v>
      </c>
      <c r="I27" s="88">
        <f t="shared" si="1"/>
        <v>0</v>
      </c>
      <c r="J27" s="88">
        <f t="shared" si="1"/>
        <v>24907</v>
      </c>
      <c r="K27" s="88">
        <f t="shared" si="1"/>
        <v>24907</v>
      </c>
      <c r="L27" s="88">
        <f t="shared" si="1"/>
        <v>0</v>
      </c>
      <c r="M27" s="88">
        <f t="shared" si="1"/>
        <v>0</v>
      </c>
      <c r="N27" s="88">
        <f t="shared" si="1"/>
        <v>24907</v>
      </c>
      <c r="O27" s="294">
        <f t="shared" si="1"/>
        <v>24907</v>
      </c>
    </row>
    <row r="28" spans="1:15" s="295" customFormat="1" ht="15.75">
      <c r="A28" s="290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294"/>
    </row>
    <row r="29" spans="1:15" ht="16.5" thickBot="1">
      <c r="A29" s="300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2:15" ht="15.7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2:15" ht="15.7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2:15" ht="15.7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2:15" ht="15.7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2:15" ht="15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15" ht="15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2:15" ht="15.7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2:15" ht="15.7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15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2:15" ht="15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</sheetData>
  <sheetProtection/>
  <mergeCells count="19">
    <mergeCell ref="L9:L11"/>
    <mergeCell ref="M9:O9"/>
    <mergeCell ref="M11:N11"/>
    <mergeCell ref="C4:M4"/>
    <mergeCell ref="L8:O8"/>
    <mergeCell ref="F10:F11"/>
    <mergeCell ref="G10:G11"/>
    <mergeCell ref="C11:D11"/>
    <mergeCell ref="I11:K11"/>
    <mergeCell ref="H9:H11"/>
    <mergeCell ref="A8:A11"/>
    <mergeCell ref="B8:D8"/>
    <mergeCell ref="E8:G8"/>
    <mergeCell ref="H8:K8"/>
    <mergeCell ref="B9:B11"/>
    <mergeCell ref="C9:D9"/>
    <mergeCell ref="E9:E11"/>
    <mergeCell ref="F9:G9"/>
    <mergeCell ref="I9:K9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2"/>
  <sheetViews>
    <sheetView zoomScale="80" zoomScaleNormal="80" zoomScalePageLayoutView="0" workbookViewId="0" topLeftCell="A1">
      <selection activeCell="F3" sqref="F3"/>
    </sheetView>
  </sheetViews>
  <sheetFormatPr defaultColWidth="9.00390625" defaultRowHeight="12.75"/>
  <cols>
    <col min="1" max="1" width="8.00390625" style="32" customWidth="1"/>
    <col min="2" max="2" width="72.125" style="32" customWidth="1"/>
    <col min="3" max="6" width="16.75390625" style="32" customWidth="1"/>
    <col min="7" max="16384" width="9.125" style="32" customWidth="1"/>
  </cols>
  <sheetData>
    <row r="1" ht="4.5" customHeight="1"/>
    <row r="2" spans="1:6" ht="12.75">
      <c r="A2" s="4"/>
      <c r="D2" s="1076"/>
      <c r="E2" s="1076"/>
      <c r="F2" s="1077" t="s">
        <v>1257</v>
      </c>
    </row>
    <row r="3" spans="1:6" ht="12.75">
      <c r="A3" s="1078"/>
      <c r="B3" s="1076"/>
      <c r="D3" s="1079"/>
      <c r="E3" s="1079"/>
      <c r="F3" s="1077" t="s">
        <v>71</v>
      </c>
    </row>
    <row r="4" spans="1:9" ht="12.75" hidden="1">
      <c r="A4" s="1076"/>
      <c r="B4" s="1076"/>
      <c r="C4" s="1080"/>
      <c r="D4" s="1079"/>
      <c r="F4" s="1077" t="s">
        <v>1008</v>
      </c>
      <c r="H4" s="4"/>
      <c r="I4" s="4"/>
    </row>
    <row r="5" spans="1:9" ht="12.75">
      <c r="A5" s="1076"/>
      <c r="B5" s="1076"/>
      <c r="C5" s="1080"/>
      <c r="D5" s="1079"/>
      <c r="F5" s="1077"/>
      <c r="H5" s="4"/>
      <c r="I5" s="4"/>
    </row>
    <row r="6" spans="1:9" ht="15.75">
      <c r="A6" s="2188" t="s">
        <v>801</v>
      </c>
      <c r="B6" s="2188"/>
      <c r="C6" s="2188"/>
      <c r="D6" s="2188"/>
      <c r="E6" s="2188"/>
      <c r="F6" s="2188"/>
      <c r="H6" s="4"/>
      <c r="I6" s="4"/>
    </row>
    <row r="7" spans="1:9" ht="15">
      <c r="A7" s="2189" t="s">
        <v>72</v>
      </c>
      <c r="B7" s="2189"/>
      <c r="C7" s="2189"/>
      <c r="D7" s="2189"/>
      <c r="E7" s="2189"/>
      <c r="F7" s="2189"/>
      <c r="H7" s="4"/>
      <c r="I7" s="4"/>
    </row>
    <row r="8" spans="8:9" ht="13.5" thickBot="1">
      <c r="H8" s="4"/>
      <c r="I8" s="4"/>
    </row>
    <row r="9" spans="1:7" ht="12.75">
      <c r="A9" s="1081" t="s">
        <v>878</v>
      </c>
      <c r="B9" s="1081" t="s">
        <v>878</v>
      </c>
      <c r="C9" s="1033" t="s">
        <v>389</v>
      </c>
      <c r="D9" s="1034" t="s">
        <v>389</v>
      </c>
      <c r="E9" s="1034" t="s">
        <v>389</v>
      </c>
      <c r="F9" s="1035" t="s">
        <v>389</v>
      </c>
      <c r="G9" s="4"/>
    </row>
    <row r="10" spans="1:7" ht="12.75">
      <c r="A10" s="1036" t="s">
        <v>187</v>
      </c>
      <c r="B10" s="1036" t="s">
        <v>1007</v>
      </c>
      <c r="C10" s="1038" t="s">
        <v>865</v>
      </c>
      <c r="D10" s="1039" t="s">
        <v>866</v>
      </c>
      <c r="E10" s="90" t="s">
        <v>190</v>
      </c>
      <c r="F10" s="373" t="s">
        <v>190</v>
      </c>
      <c r="G10" s="4"/>
    </row>
    <row r="11" spans="1:7" ht="13.5" thickBot="1">
      <c r="A11" s="1082"/>
      <c r="B11" s="1083"/>
      <c r="C11" s="1042" t="s">
        <v>4</v>
      </c>
      <c r="D11" s="1043" t="s">
        <v>4</v>
      </c>
      <c r="E11" s="1044"/>
      <c r="F11" s="637" t="s">
        <v>303</v>
      </c>
      <c r="G11" s="4"/>
    </row>
    <row r="12" spans="1:7" ht="12.75">
      <c r="A12" s="1084">
        <v>1</v>
      </c>
      <c r="B12" s="1085">
        <v>2</v>
      </c>
      <c r="C12" s="1086">
        <v>3</v>
      </c>
      <c r="D12" s="1212">
        <v>4</v>
      </c>
      <c r="E12" s="1087">
        <v>5</v>
      </c>
      <c r="F12" s="1088">
        <v>6</v>
      </c>
      <c r="G12" s="4"/>
    </row>
    <row r="13" spans="1:7" ht="12.75" customHeight="1">
      <c r="A13" s="1089" t="s">
        <v>174</v>
      </c>
      <c r="B13" s="1090" t="s">
        <v>1120</v>
      </c>
      <c r="C13" s="561">
        <f>C14+C19</f>
        <v>9855888</v>
      </c>
      <c r="D13" s="561">
        <f>D14+D19</f>
        <v>9777102</v>
      </c>
      <c r="E13" s="750">
        <f>E14+E19</f>
        <v>10126370.364</v>
      </c>
      <c r="F13" s="371">
        <f aca="true" t="shared" si="0" ref="F13:F18">E13/D13*100</f>
        <v>103.57230970895057</v>
      </c>
      <c r="G13" s="4"/>
    </row>
    <row r="14" spans="1:25" ht="12.75">
      <c r="A14" s="1091" t="s">
        <v>482</v>
      </c>
      <c r="B14" s="1092" t="s">
        <v>214</v>
      </c>
      <c r="C14" s="561">
        <f>ROUND(SUM(C15:C18),0)</f>
        <v>2490671</v>
      </c>
      <c r="D14" s="561">
        <f>ROUND(SUM(D15:D18),0)</f>
        <v>2387335</v>
      </c>
      <c r="E14" s="561">
        <f>ROUND(SUM(E15:E18),0)</f>
        <v>2534208</v>
      </c>
      <c r="F14" s="371">
        <f t="shared" si="0"/>
        <v>106.15217386751337</v>
      </c>
      <c r="G14" s="13"/>
      <c r="H14" s="31"/>
      <c r="I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7" ht="12.75">
      <c r="A15" s="1093"/>
      <c r="B15" s="419" t="s">
        <v>44</v>
      </c>
      <c r="C15" s="562">
        <f>'5.tábla'!DN14</f>
        <v>380100</v>
      </c>
      <c r="D15" s="562">
        <f>'5.tábla'!DO14</f>
        <v>354299</v>
      </c>
      <c r="E15" s="562">
        <f>'5.tábla'!DP14</f>
        <v>376801.814</v>
      </c>
      <c r="F15" s="1094">
        <f t="shared" si="0"/>
        <v>106.35136254971084</v>
      </c>
      <c r="G15" s="4" t="s">
        <v>878</v>
      </c>
    </row>
    <row r="16" spans="1:7" ht="12.75">
      <c r="A16" s="1093"/>
      <c r="B16" s="419" t="s">
        <v>896</v>
      </c>
      <c r="C16" s="562">
        <f>'5.tábla'!DN15</f>
        <v>1388913</v>
      </c>
      <c r="D16" s="562">
        <f>'5.tábla'!DO15</f>
        <v>1372200.307</v>
      </c>
      <c r="E16" s="562">
        <f>'5.tábla'!DP15</f>
        <v>1468182.044</v>
      </c>
      <c r="F16" s="1094">
        <f t="shared" si="0"/>
        <v>106.99473222024282</v>
      </c>
      <c r="G16" s="4"/>
    </row>
    <row r="17" spans="1:7" ht="12.75">
      <c r="A17" s="1093"/>
      <c r="B17" s="419" t="s">
        <v>224</v>
      </c>
      <c r="C17" s="562">
        <f>'5.tábla'!DN16</f>
        <v>460033</v>
      </c>
      <c r="D17" s="562">
        <f>'5.tábla'!DO16</f>
        <v>432233.298</v>
      </c>
      <c r="E17" s="562">
        <f>'5.tábla'!DP16</f>
        <v>427656.476</v>
      </c>
      <c r="F17" s="1094">
        <f t="shared" si="0"/>
        <v>98.94112230104031</v>
      </c>
      <c r="G17" s="4"/>
    </row>
    <row r="18" spans="1:7" ht="12.75">
      <c r="A18" s="1084"/>
      <c r="B18" s="563" t="s">
        <v>897</v>
      </c>
      <c r="C18" s="562">
        <f>'5.tábla'!DN17</f>
        <v>261625</v>
      </c>
      <c r="D18" s="562">
        <f>'5.tábla'!DO17</f>
        <v>228602</v>
      </c>
      <c r="E18" s="562">
        <f>'5.tábla'!DP17</f>
        <v>261567.22100000002</v>
      </c>
      <c r="F18" s="1094">
        <f t="shared" si="0"/>
        <v>114.42035546495657</v>
      </c>
      <c r="G18" s="4"/>
    </row>
    <row r="19" spans="1:7" ht="12.75">
      <c r="A19" s="1096" t="s">
        <v>155</v>
      </c>
      <c r="B19" s="1097" t="s">
        <v>821</v>
      </c>
      <c r="C19" s="564">
        <f>C20+C26+C29</f>
        <v>7365217</v>
      </c>
      <c r="D19" s="564">
        <f>D20+D26+D29</f>
        <v>7389767</v>
      </c>
      <c r="E19" s="611">
        <f>E20+E26+E29</f>
        <v>7592162.363999999</v>
      </c>
      <c r="F19" s="371">
        <f aca="true" t="shared" si="1" ref="F19:F25">E19/D19*100</f>
        <v>102.73885988556877</v>
      </c>
      <c r="G19" s="4"/>
    </row>
    <row r="20" spans="1:25" ht="12.75">
      <c r="A20" s="1098" t="s">
        <v>53</v>
      </c>
      <c r="B20" s="1099" t="s">
        <v>522</v>
      </c>
      <c r="C20" s="561">
        <f>SUM(C21:C25)</f>
        <v>6650813</v>
      </c>
      <c r="D20" s="561">
        <f>SUM(D21:D25)</f>
        <v>6680813</v>
      </c>
      <c r="E20" s="750">
        <f>SUM(E21:E25)</f>
        <v>6891019.219999999</v>
      </c>
      <c r="F20" s="371">
        <f t="shared" si="1"/>
        <v>103.14641676095408</v>
      </c>
      <c r="G20" s="13"/>
      <c r="H20" s="31"/>
      <c r="I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7" ht="12.75">
      <c r="A21" s="1093"/>
      <c r="B21" s="419" t="s">
        <v>7</v>
      </c>
      <c r="C21" s="562">
        <f>'5.tábla'!DN20</f>
        <v>4720813</v>
      </c>
      <c r="D21" s="562">
        <f>'5.tábla'!DO20</f>
        <v>4720813</v>
      </c>
      <c r="E21" s="562">
        <f>'5.tábla'!DP20</f>
        <v>4875155.782</v>
      </c>
      <c r="F21" s="1094">
        <f t="shared" si="1"/>
        <v>103.26941105271486</v>
      </c>
      <c r="G21" s="4"/>
    </row>
    <row r="22" spans="1:7" ht="12.75">
      <c r="A22" s="1093"/>
      <c r="B22" s="419" t="s">
        <v>1119</v>
      </c>
      <c r="C22" s="562">
        <f>'5.tábla'!DN21</f>
        <v>1330000</v>
      </c>
      <c r="D22" s="562">
        <f>'5.tábla'!DO21</f>
        <v>1350000</v>
      </c>
      <c r="E22" s="562">
        <f>'5.tábla'!DP21</f>
        <v>1382184.572</v>
      </c>
      <c r="F22" s="1094">
        <f t="shared" si="1"/>
        <v>102.38404237037035</v>
      </c>
      <c r="G22" s="4"/>
    </row>
    <row r="23" spans="1:7" ht="12.75">
      <c r="A23" s="1093"/>
      <c r="B23" s="419" t="s">
        <v>523</v>
      </c>
      <c r="C23" s="562">
        <f>'5.tábla'!DN22</f>
        <v>390000</v>
      </c>
      <c r="D23" s="562">
        <f>'5.tábla'!DO22</f>
        <v>400000</v>
      </c>
      <c r="E23" s="562">
        <f>'5.tábla'!DP22</f>
        <v>420000</v>
      </c>
      <c r="F23" s="1094">
        <f t="shared" si="1"/>
        <v>105</v>
      </c>
      <c r="G23" s="4"/>
    </row>
    <row r="24" spans="1:7" ht="12.75">
      <c r="A24" s="1093"/>
      <c r="B24" s="419" t="s">
        <v>989</v>
      </c>
      <c r="C24" s="562">
        <f>'5.tábla'!DN23</f>
        <v>90000</v>
      </c>
      <c r="D24" s="562">
        <f>'5.tábla'!DO23</f>
        <v>90000</v>
      </c>
      <c r="E24" s="562">
        <f>'5.tábla'!DP23</f>
        <v>92055.47</v>
      </c>
      <c r="F24" s="1094">
        <f t="shared" si="1"/>
        <v>102.28385555555555</v>
      </c>
      <c r="G24" s="4"/>
    </row>
    <row r="25" spans="1:7" ht="12.75">
      <c r="A25" s="1093"/>
      <c r="B25" s="419" t="s">
        <v>49</v>
      </c>
      <c r="C25" s="562">
        <f>'5.tábla'!DN24</f>
        <v>120000</v>
      </c>
      <c r="D25" s="562">
        <f>'5.tábla'!DO24</f>
        <v>120000</v>
      </c>
      <c r="E25" s="562">
        <f>'5.tábla'!DP24</f>
        <v>121623.396</v>
      </c>
      <c r="F25" s="1094">
        <f t="shared" si="1"/>
        <v>101.35283</v>
      </c>
      <c r="G25" s="4"/>
    </row>
    <row r="26" spans="1:25" ht="12.75">
      <c r="A26" s="1098" t="s">
        <v>54</v>
      </c>
      <c r="B26" s="1099" t="s">
        <v>60</v>
      </c>
      <c r="C26" s="561">
        <f>ROUND(C27+C28,0)</f>
        <v>296000</v>
      </c>
      <c r="D26" s="561">
        <f>ROUND(D27+D28,0)</f>
        <v>300000</v>
      </c>
      <c r="E26" s="750">
        <f>E27+E28</f>
        <v>301803.144</v>
      </c>
      <c r="F26" s="371">
        <f>E26/D26*100</f>
        <v>100.60104799999998</v>
      </c>
      <c r="G26" s="13"/>
      <c r="H26" s="31"/>
      <c r="I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7" ht="12.75" hidden="1">
      <c r="A27" s="1093"/>
      <c r="B27" s="419" t="s">
        <v>996</v>
      </c>
      <c r="C27" s="562">
        <f>'5.tábla'!DN26</f>
        <v>0</v>
      </c>
      <c r="D27" s="562">
        <f>'5.tábla'!DO26</f>
        <v>0</v>
      </c>
      <c r="E27" s="562">
        <f>'5.tábla'!DP26</f>
        <v>0</v>
      </c>
      <c r="F27" s="1094" t="e">
        <f>E27/D27*100</f>
        <v>#DIV/0!</v>
      </c>
      <c r="G27" s="4"/>
    </row>
    <row r="28" spans="1:7" ht="12.75">
      <c r="A28" s="1093"/>
      <c r="B28" s="419" t="s">
        <v>458</v>
      </c>
      <c r="C28" s="562">
        <f>'5.tábla'!DN27</f>
        <v>296000</v>
      </c>
      <c r="D28" s="562">
        <f>'5.tábla'!DO27</f>
        <v>300000</v>
      </c>
      <c r="E28" s="562">
        <f>'5.tábla'!DP27</f>
        <v>301803.144</v>
      </c>
      <c r="F28" s="1094">
        <f>E28/D28*100</f>
        <v>100.60104799999998</v>
      </c>
      <c r="G28" s="4"/>
    </row>
    <row r="29" spans="1:25" ht="12.75">
      <c r="A29" s="1098" t="s">
        <v>997</v>
      </c>
      <c r="B29" s="1099" t="s">
        <v>998</v>
      </c>
      <c r="C29" s="561">
        <f>ROUND(SUM(C30:C41),0)</f>
        <v>418404</v>
      </c>
      <c r="D29" s="561">
        <f>ROUND(SUM(D30:D41),0)</f>
        <v>408954</v>
      </c>
      <c r="E29" s="561">
        <f>ROUND(SUM(E30:E41),0)</f>
        <v>399340</v>
      </c>
      <c r="F29" s="371">
        <f>E29/D29*100</f>
        <v>97.64912435139405</v>
      </c>
      <c r="G29" s="13"/>
      <c r="H29" s="31"/>
      <c r="I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 s="1093"/>
      <c r="B30" s="419" t="s">
        <v>3</v>
      </c>
      <c r="C30" s="562">
        <f>'5.tábla'!DN29</f>
        <v>20000</v>
      </c>
      <c r="D30" s="562">
        <f>'5.tábla'!DO29</f>
        <v>20000</v>
      </c>
      <c r="E30" s="562">
        <f>'5.tábla'!DP29</f>
        <v>25195.575</v>
      </c>
      <c r="F30" s="1094">
        <f>E30/D30*100</f>
        <v>125.977875</v>
      </c>
      <c r="G30" s="13"/>
      <c r="H30" s="31"/>
      <c r="I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>
      <c r="A31" s="1093"/>
      <c r="B31" s="419" t="s">
        <v>1108</v>
      </c>
      <c r="C31" s="562">
        <f>'5.tábla'!DN30</f>
        <v>0</v>
      </c>
      <c r="D31" s="562">
        <f>'5.tábla'!DO30</f>
        <v>0</v>
      </c>
      <c r="E31" s="562">
        <f>'5.tábla'!DP30</f>
        <v>0</v>
      </c>
      <c r="F31" s="1094">
        <v>0</v>
      </c>
      <c r="G31" s="13"/>
      <c r="H31" s="31"/>
      <c r="I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>
      <c r="A32" s="1093"/>
      <c r="B32" s="419" t="s">
        <v>492</v>
      </c>
      <c r="C32" s="562">
        <f>'5.tábla'!DN31</f>
        <v>0</v>
      </c>
      <c r="D32" s="562">
        <f>'5.tábla'!DO31</f>
        <v>0</v>
      </c>
      <c r="E32" s="562">
        <f>'5.tábla'!DP31</f>
        <v>0</v>
      </c>
      <c r="F32" s="1094">
        <v>0</v>
      </c>
      <c r="G32" s="13"/>
      <c r="H32" s="31"/>
      <c r="I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>
      <c r="A33" s="1093"/>
      <c r="B33" s="419" t="s">
        <v>1105</v>
      </c>
      <c r="C33" s="562">
        <f>'5.tábla'!DN32</f>
        <v>5000</v>
      </c>
      <c r="D33" s="562">
        <f>'5.tábla'!DO32</f>
        <v>5000</v>
      </c>
      <c r="E33" s="562">
        <f>'5.tábla'!DP32</f>
        <v>4470.302</v>
      </c>
      <c r="F33" s="1094">
        <f aca="true" t="shared" si="2" ref="F33:F39">E33/D33*100</f>
        <v>89.40604</v>
      </c>
      <c r="G33" s="13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>
      <c r="A34" s="1093"/>
      <c r="B34" s="419" t="s">
        <v>320</v>
      </c>
      <c r="C34" s="562">
        <f>'5.tábla'!DN33</f>
        <v>2000</v>
      </c>
      <c r="D34" s="562">
        <f>'5.tábla'!DO33</f>
        <v>2000</v>
      </c>
      <c r="E34" s="562">
        <f>'5.tábla'!DP33</f>
        <v>1490</v>
      </c>
      <c r="F34" s="1094">
        <f t="shared" si="2"/>
        <v>74.5</v>
      </c>
      <c r="G34" s="13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7" ht="12.75">
      <c r="A35" s="1093"/>
      <c r="B35" s="419" t="s">
        <v>300</v>
      </c>
      <c r="C35" s="562">
        <f>'5.tábla'!DN34</f>
        <v>40000</v>
      </c>
      <c r="D35" s="562">
        <f>'5.tábla'!DO34</f>
        <v>35550</v>
      </c>
      <c r="E35" s="562">
        <f>'5.tábla'!DP34</f>
        <v>31161</v>
      </c>
      <c r="F35" s="1094">
        <f t="shared" si="2"/>
        <v>87.65400843881856</v>
      </c>
      <c r="G35" s="4"/>
    </row>
    <row r="36" spans="1:7" ht="12.75">
      <c r="A36" s="1093"/>
      <c r="B36" s="419" t="s">
        <v>1110</v>
      </c>
      <c r="C36" s="562">
        <f>'5.tábla'!DN35</f>
        <v>3000</v>
      </c>
      <c r="D36" s="562">
        <f>'5.tábla'!DO35</f>
        <v>3000</v>
      </c>
      <c r="E36" s="562">
        <f>'5.tábla'!DP35</f>
        <v>3694</v>
      </c>
      <c r="F36" s="1094">
        <f t="shared" si="2"/>
        <v>123.13333333333334</v>
      </c>
      <c r="G36" s="4"/>
    </row>
    <row r="37" spans="1:7" ht="12.75">
      <c r="A37" s="1093"/>
      <c r="B37" s="419" t="s">
        <v>2</v>
      </c>
      <c r="C37" s="562">
        <f>'5.tábla'!DN36</f>
        <v>5000</v>
      </c>
      <c r="D37" s="562">
        <f>'5.tábla'!DO36</f>
        <v>5000</v>
      </c>
      <c r="E37" s="562">
        <f>'5.tábla'!DP36</f>
        <v>4957.917</v>
      </c>
      <c r="F37" s="1094">
        <f t="shared" si="2"/>
        <v>99.15834000000001</v>
      </c>
      <c r="G37" s="4"/>
    </row>
    <row r="38" spans="1:7" ht="12.75">
      <c r="A38" s="1093"/>
      <c r="B38" s="419" t="s">
        <v>273</v>
      </c>
      <c r="C38" s="562">
        <f>'5.tábla'!DN37</f>
        <v>94600</v>
      </c>
      <c r="D38" s="562">
        <f>'5.tábla'!DO37</f>
        <v>86600</v>
      </c>
      <c r="E38" s="562">
        <f>'5.tábla'!DP37</f>
        <v>79230</v>
      </c>
      <c r="F38" s="1094">
        <f t="shared" si="2"/>
        <v>91.48960739030024</v>
      </c>
      <c r="G38" s="4"/>
    </row>
    <row r="39" spans="1:7" ht="12.75">
      <c r="A39" s="1093"/>
      <c r="B39" s="419" t="s">
        <v>274</v>
      </c>
      <c r="C39" s="562">
        <f>'5.tábla'!DN38</f>
        <v>229700</v>
      </c>
      <c r="D39" s="562">
        <f>'5.tábla'!DO38</f>
        <v>228700</v>
      </c>
      <c r="E39" s="562">
        <f>'5.tábla'!DP38</f>
        <v>226036</v>
      </c>
      <c r="F39" s="1094">
        <f t="shared" si="2"/>
        <v>98.83515522518583</v>
      </c>
      <c r="G39" s="4"/>
    </row>
    <row r="40" spans="1:7" ht="12.75">
      <c r="A40" s="1093"/>
      <c r="B40" s="419" t="s">
        <v>999</v>
      </c>
      <c r="C40" s="562">
        <f>'5.tábla'!DN39</f>
        <v>19104</v>
      </c>
      <c r="D40" s="562">
        <f>'5.tábla'!DO39</f>
        <v>19104</v>
      </c>
      <c r="E40" s="562">
        <f>'5.tábla'!DP39</f>
        <v>19104.706</v>
      </c>
      <c r="F40" s="1094">
        <f>E40/D40*100</f>
        <v>100.00369556113901</v>
      </c>
      <c r="G40" s="4"/>
    </row>
    <row r="41" spans="1:7" ht="12.75">
      <c r="A41" s="1093"/>
      <c r="B41" s="1458" t="s">
        <v>1118</v>
      </c>
      <c r="C41" s="562">
        <f>'5.tábla'!DN40</f>
        <v>0</v>
      </c>
      <c r="D41" s="562">
        <f>'5.tábla'!DO40</f>
        <v>4000</v>
      </c>
      <c r="E41" s="562">
        <f>'5.tábla'!DP40</f>
        <v>4000</v>
      </c>
      <c r="F41" s="1094">
        <f>E41/D41*100</f>
        <v>100</v>
      </c>
      <c r="G41" s="4"/>
    </row>
    <row r="42" spans="1:7" ht="12.75">
      <c r="A42" s="1089" t="s">
        <v>156</v>
      </c>
      <c r="B42" s="1467" t="s">
        <v>241</v>
      </c>
      <c r="C42" s="1464">
        <f>'5.tábla'!DN41</f>
        <v>0</v>
      </c>
      <c r="D42" s="1464">
        <f>'5.tábla'!DO41</f>
        <v>0</v>
      </c>
      <c r="E42" s="1465">
        <f>'5.tábla'!DP41</f>
        <v>0</v>
      </c>
      <c r="F42" s="1466">
        <v>0</v>
      </c>
      <c r="G42" s="4"/>
    </row>
    <row r="43" spans="1:7" ht="12.75">
      <c r="A43" s="1459" t="s">
        <v>457</v>
      </c>
      <c r="B43" s="1460" t="s">
        <v>1058</v>
      </c>
      <c r="C43" s="1461">
        <f>C44</f>
        <v>3116467</v>
      </c>
      <c r="D43" s="1461">
        <f>D44</f>
        <v>3261142.5099999993</v>
      </c>
      <c r="E43" s="1462">
        <f>E44</f>
        <v>3451644.5700000003</v>
      </c>
      <c r="F43" s="1463">
        <f aca="true" t="shared" si="3" ref="F43:F52">E43/D43*100</f>
        <v>105.84157421565736</v>
      </c>
      <c r="G43" s="4"/>
    </row>
    <row r="44" spans="1:25" ht="12.75">
      <c r="A44" s="1100" t="s">
        <v>482</v>
      </c>
      <c r="B44" s="1092" t="s">
        <v>683</v>
      </c>
      <c r="C44" s="561">
        <f>ROUND(SUM(C45:C53),0)-C47-C48-C51-C53</f>
        <v>3116467</v>
      </c>
      <c r="D44" s="561">
        <f>ROUND(SUM(D45:D53),0)-D47-D48-D51-D53</f>
        <v>3261142.5099999993</v>
      </c>
      <c r="E44" s="750">
        <f>ROUND(SUM(E45:E53),0)-E47-E48-E51-E53</f>
        <v>3451644.5700000003</v>
      </c>
      <c r="F44" s="371">
        <f t="shared" si="3"/>
        <v>105.84157421565736</v>
      </c>
      <c r="G44" s="13"/>
      <c r="H44" s="31"/>
      <c r="I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2.75">
      <c r="A45" s="1101" t="s">
        <v>908</v>
      </c>
      <c r="B45" s="1102" t="s">
        <v>243</v>
      </c>
      <c r="C45" s="562">
        <f>'5.tábla'!DN44</f>
        <v>1842465</v>
      </c>
      <c r="D45" s="562">
        <f>'5.tábla'!DO44</f>
        <v>1845893.012</v>
      </c>
      <c r="E45" s="562">
        <f>'5.tábla'!DP44</f>
        <v>1845892.5280000002</v>
      </c>
      <c r="F45" s="1094">
        <f t="shared" si="3"/>
        <v>99.99997377962879</v>
      </c>
      <c r="G45" s="6"/>
      <c r="H45" s="31"/>
      <c r="I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2.75">
      <c r="A46" s="1101" t="s">
        <v>909</v>
      </c>
      <c r="B46" s="1102" t="s">
        <v>244</v>
      </c>
      <c r="C46" s="567">
        <f>SUM(C47:C48)</f>
        <v>0</v>
      </c>
      <c r="D46" s="567">
        <f>SUM(D47:D48)</f>
        <v>240873.38999999998</v>
      </c>
      <c r="E46" s="668">
        <f>SUM(E47:E48)</f>
        <v>240873.43</v>
      </c>
      <c r="F46" s="1094">
        <f t="shared" si="3"/>
        <v>100.0000166062345</v>
      </c>
      <c r="G46" s="6"/>
      <c r="H46" s="31"/>
      <c r="I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2.75">
      <c r="A47" s="1101"/>
      <c r="B47" s="568" t="s">
        <v>245</v>
      </c>
      <c r="C47" s="569">
        <f>'5.tábla'!DN46</f>
        <v>0</v>
      </c>
      <c r="D47" s="569">
        <f>'5.tábla'!DO46</f>
        <v>175221.85499999998</v>
      </c>
      <c r="E47" s="569">
        <f>'5.tábla'!DP46</f>
        <v>175221.895</v>
      </c>
      <c r="F47" s="1095">
        <f t="shared" si="3"/>
        <v>100.00002282820257</v>
      </c>
      <c r="G47" s="6"/>
      <c r="H47" s="31"/>
      <c r="I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2.75">
      <c r="A48" s="1101"/>
      <c r="B48" s="568" t="s">
        <v>246</v>
      </c>
      <c r="C48" s="569">
        <f>'5.tábla'!DN47</f>
        <v>0</v>
      </c>
      <c r="D48" s="569">
        <f>'5.tábla'!DO47</f>
        <v>65651.535</v>
      </c>
      <c r="E48" s="569">
        <f>'5.tábla'!DP47</f>
        <v>65651.535</v>
      </c>
      <c r="F48" s="1095">
        <f t="shared" si="3"/>
        <v>100</v>
      </c>
      <c r="G48" s="6"/>
      <c r="H48" s="31"/>
      <c r="I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.75">
      <c r="A49" s="1101" t="s">
        <v>911</v>
      </c>
      <c r="B49" s="1102" t="s">
        <v>491</v>
      </c>
      <c r="C49" s="562">
        <f>'5.tábla'!DN48</f>
        <v>0</v>
      </c>
      <c r="D49" s="562">
        <f>'5.tábla'!DO48</f>
        <v>0</v>
      </c>
      <c r="E49" s="562">
        <f>'5.tábla'!DP48</f>
        <v>0</v>
      </c>
      <c r="F49" s="1094">
        <v>0</v>
      </c>
      <c r="G49" s="6"/>
      <c r="H49" s="31"/>
      <c r="I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>
      <c r="A50" s="1469" t="s">
        <v>912</v>
      </c>
      <c r="B50" s="565" t="s">
        <v>247</v>
      </c>
      <c r="C50" s="562">
        <f>'5.tábla'!DN49</f>
        <v>1023434</v>
      </c>
      <c r="D50" s="562">
        <f>'5.tábla'!DO49</f>
        <v>1152553.37</v>
      </c>
      <c r="E50" s="562">
        <f>'5.tábla'!DP49</f>
        <v>1343055.351</v>
      </c>
      <c r="F50" s="1094">
        <f t="shared" si="3"/>
        <v>116.52869064102427</v>
      </c>
      <c r="G50" s="6"/>
      <c r="H50" s="31"/>
      <c r="I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.75">
      <c r="A51" s="1469"/>
      <c r="B51" s="568" t="s">
        <v>248</v>
      </c>
      <c r="C51" s="569">
        <f>'5.tábla'!DN50</f>
        <v>1018206</v>
      </c>
      <c r="D51" s="569">
        <f>'5.tábla'!DO50</f>
        <v>1111581.1</v>
      </c>
      <c r="E51" s="569">
        <f>'5.tábla'!DP50</f>
        <v>1111581</v>
      </c>
      <c r="F51" s="1095">
        <f t="shared" si="3"/>
        <v>99.99999100380529</v>
      </c>
      <c r="G51" s="6"/>
      <c r="H51" s="31"/>
      <c r="I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>
      <c r="A52" s="1469" t="s">
        <v>51</v>
      </c>
      <c r="B52" s="565" t="s">
        <v>249</v>
      </c>
      <c r="C52" s="562">
        <f>'5.tábla'!DN51</f>
        <v>250568</v>
      </c>
      <c r="D52" s="562">
        <f>'5.tábla'!DO51</f>
        <v>21822.842</v>
      </c>
      <c r="E52" s="562">
        <f>'5.tábla'!DP51</f>
        <v>21823.167999999998</v>
      </c>
      <c r="F52" s="1094">
        <f t="shared" si="3"/>
        <v>100.00149384759325</v>
      </c>
      <c r="G52" s="6"/>
      <c r="H52" s="31"/>
      <c r="I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2.75">
      <c r="A53" s="1469"/>
      <c r="B53" s="568" t="s">
        <v>248</v>
      </c>
      <c r="C53" s="569">
        <f>'5.tábla'!DN52</f>
        <v>0</v>
      </c>
      <c r="D53" s="569">
        <f>'5.tábla'!DO52</f>
        <v>0</v>
      </c>
      <c r="E53" s="569">
        <f>'5.tábla'!DP52</f>
        <v>0</v>
      </c>
      <c r="F53" s="1095">
        <v>0</v>
      </c>
      <c r="G53" s="6"/>
      <c r="H53" s="31"/>
      <c r="I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2.75">
      <c r="A54" s="1100" t="s">
        <v>5</v>
      </c>
      <c r="B54" s="1103" t="s">
        <v>250</v>
      </c>
      <c r="C54" s="561">
        <f>C55+C64+C71+C77</f>
        <v>925982</v>
      </c>
      <c r="D54" s="561">
        <f>D55+D64+D71+D77</f>
        <v>627805.09</v>
      </c>
      <c r="E54" s="561">
        <f>E55+E64+E71+E77</f>
        <v>642369.4010000001</v>
      </c>
      <c r="F54" s="371">
        <f>E54/D54*100</f>
        <v>102.319877814307</v>
      </c>
      <c r="G54" s="6"/>
      <c r="H54" s="31"/>
      <c r="I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2.75">
      <c r="A55" s="1100" t="s">
        <v>482</v>
      </c>
      <c r="B55" s="1103" t="s">
        <v>1000</v>
      </c>
      <c r="C55" s="561">
        <f>C56+C63</f>
        <v>384000</v>
      </c>
      <c r="D55" s="561">
        <f>D56+D63</f>
        <v>245850</v>
      </c>
      <c r="E55" s="750">
        <f>E56+E63</f>
        <v>229831</v>
      </c>
      <c r="F55" s="371">
        <f>E55/D55*100</f>
        <v>93.48423835672158</v>
      </c>
      <c r="G55" s="6"/>
      <c r="H55" s="31"/>
      <c r="I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2.75">
      <c r="A56" s="1101"/>
      <c r="B56" s="669" t="s">
        <v>45</v>
      </c>
      <c r="C56" s="567">
        <f>SUM(C57:C62)</f>
        <v>384000</v>
      </c>
      <c r="D56" s="567">
        <f>SUM(D57:D62)</f>
        <v>245400</v>
      </c>
      <c r="E56" s="1104">
        <f>SUM(E57:E62)</f>
        <v>229381</v>
      </c>
      <c r="F56" s="1094">
        <f>E56/D56*100</f>
        <v>93.47229013854931</v>
      </c>
      <c r="G56" s="6"/>
      <c r="H56" s="31"/>
      <c r="I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2.75">
      <c r="A57" s="1101"/>
      <c r="B57" s="1105" t="s">
        <v>1001</v>
      </c>
      <c r="C57" s="570">
        <f>'5.tábla'!DN56</f>
        <v>160000</v>
      </c>
      <c r="D57" s="570">
        <f>'5.tábla'!DO56</f>
        <v>160000</v>
      </c>
      <c r="E57" s="570">
        <f>'5.tábla'!DP56</f>
        <v>122169</v>
      </c>
      <c r="F57" s="1095">
        <f>E57/D57*100</f>
        <v>76.355625</v>
      </c>
      <c r="G57" s="6"/>
      <c r="H57" s="31"/>
      <c r="I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2.75">
      <c r="A58" s="1101"/>
      <c r="B58" s="1105" t="s">
        <v>1002</v>
      </c>
      <c r="C58" s="570">
        <f>'5.tábla'!DN57</f>
        <v>4000</v>
      </c>
      <c r="D58" s="570">
        <f>'5.tábla'!DO57</f>
        <v>3400</v>
      </c>
      <c r="E58" s="570">
        <f>'5.tábla'!DP57</f>
        <v>103918</v>
      </c>
      <c r="F58" s="1095">
        <f>E58/D58*100</f>
        <v>3056.411764705882</v>
      </c>
      <c r="G58" s="6"/>
      <c r="H58" s="31"/>
      <c r="I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">
      <c r="A59" s="1101"/>
      <c r="B59" s="1106" t="s">
        <v>123</v>
      </c>
      <c r="C59" s="570">
        <f>'5.tábla'!DN58</f>
        <v>220000</v>
      </c>
      <c r="D59" s="570">
        <f>'5.tábla'!DO58</f>
        <v>82000</v>
      </c>
      <c r="E59" s="570">
        <f>'5.tábla'!DP58</f>
        <v>3294</v>
      </c>
      <c r="F59" s="1095">
        <v>0</v>
      </c>
      <c r="G59" s="6"/>
      <c r="H59" s="31"/>
      <c r="I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2.75">
      <c r="A60" s="1101"/>
      <c r="B60" s="1105" t="s">
        <v>86</v>
      </c>
      <c r="C60" s="570">
        <f>'5.tábla'!DN59</f>
        <v>0</v>
      </c>
      <c r="D60" s="570">
        <f>'5.tábla'!DO59</f>
        <v>0</v>
      </c>
      <c r="E60" s="570">
        <f>'5.tábla'!DP59</f>
        <v>0</v>
      </c>
      <c r="F60" s="1095">
        <v>0</v>
      </c>
      <c r="G60" s="6"/>
      <c r="H60" s="31"/>
      <c r="I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2.75">
      <c r="A61" s="1101"/>
      <c r="B61" s="1105" t="s">
        <v>96</v>
      </c>
      <c r="C61" s="570">
        <f>'5.tábla'!DN60</f>
        <v>0</v>
      </c>
      <c r="D61" s="570">
        <f>'5.tábla'!DO60</f>
        <v>0</v>
      </c>
      <c r="E61" s="570">
        <f>'5.tábla'!DP60</f>
        <v>0</v>
      </c>
      <c r="F61" s="1095">
        <v>0</v>
      </c>
      <c r="G61" s="6"/>
      <c r="H61" s="31"/>
      <c r="I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2.75">
      <c r="A62" s="1101"/>
      <c r="B62" s="1105" t="s">
        <v>1106</v>
      </c>
      <c r="C62" s="570">
        <f>'5.tábla'!DN61</f>
        <v>0</v>
      </c>
      <c r="D62" s="570">
        <f>'5.tábla'!DO61</f>
        <v>0</v>
      </c>
      <c r="E62" s="570">
        <f>'5.tábla'!DP61</f>
        <v>0</v>
      </c>
      <c r="F62" s="1095">
        <v>0</v>
      </c>
      <c r="G62" s="6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2.75">
      <c r="A63" s="1101"/>
      <c r="B63" s="1102" t="s">
        <v>176</v>
      </c>
      <c r="C63" s="566">
        <f>'5.tábla'!DN62</f>
        <v>0</v>
      </c>
      <c r="D63" s="566">
        <f>'5.tábla'!DO62</f>
        <v>450</v>
      </c>
      <c r="E63" s="566">
        <f>'5.tábla'!DP62</f>
        <v>450</v>
      </c>
      <c r="F63" s="1094">
        <f aca="true" t="shared" si="4" ref="F63:F68">E63/D63*100</f>
        <v>100</v>
      </c>
      <c r="G63" s="6"/>
      <c r="H63" s="31"/>
      <c r="I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2.75">
      <c r="A64" s="1100" t="s">
        <v>155</v>
      </c>
      <c r="B64" s="1103" t="s">
        <v>97</v>
      </c>
      <c r="C64" s="564">
        <f>C65+C68+C69+C70</f>
        <v>495000</v>
      </c>
      <c r="D64" s="564">
        <f>D65+D68+D69+D70</f>
        <v>310000</v>
      </c>
      <c r="E64" s="799">
        <f>E65+E68+E69+E70</f>
        <v>340171.351</v>
      </c>
      <c r="F64" s="371">
        <f t="shared" si="4"/>
        <v>109.73269387096775</v>
      </c>
      <c r="G64" s="6"/>
      <c r="H64" s="31"/>
      <c r="I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2.75">
      <c r="A65" s="1107"/>
      <c r="B65" s="1102" t="s">
        <v>98</v>
      </c>
      <c r="C65" s="608">
        <f>SUM(C66:C67)</f>
        <v>195000</v>
      </c>
      <c r="D65" s="608">
        <f>SUM(D66:D67)</f>
        <v>200000</v>
      </c>
      <c r="E65" s="569">
        <f>SUM(E66:E67)</f>
        <v>232213</v>
      </c>
      <c r="F65" s="1094">
        <f t="shared" si="4"/>
        <v>116.1065</v>
      </c>
      <c r="G65" s="6"/>
      <c r="H65" s="31"/>
      <c r="I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2.75">
      <c r="A66" s="1107"/>
      <c r="B66" s="1105" t="s">
        <v>99</v>
      </c>
      <c r="C66" s="570">
        <f>'5.tábla'!DN65</f>
        <v>105000</v>
      </c>
      <c r="D66" s="570">
        <f>'5.tábla'!DO65</f>
        <v>110000</v>
      </c>
      <c r="E66" s="570">
        <f>'5.tábla'!DP65</f>
        <v>142311</v>
      </c>
      <c r="F66" s="1095">
        <f t="shared" si="4"/>
        <v>129.37363636363636</v>
      </c>
      <c r="G66" s="6"/>
      <c r="H66" s="31"/>
      <c r="I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2.75">
      <c r="A67" s="1107"/>
      <c r="B67" s="1105" t="s">
        <v>100</v>
      </c>
      <c r="C67" s="570">
        <f>'5.tábla'!DN66</f>
        <v>90000</v>
      </c>
      <c r="D67" s="570">
        <f>'5.tábla'!DO66</f>
        <v>90000</v>
      </c>
      <c r="E67" s="570">
        <f>'5.tábla'!DP66</f>
        <v>89902</v>
      </c>
      <c r="F67" s="1095">
        <f t="shared" si="4"/>
        <v>99.89111111111112</v>
      </c>
      <c r="G67" s="6"/>
      <c r="H67" s="31"/>
      <c r="I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2.75">
      <c r="A68" s="1101"/>
      <c r="B68" s="1102" t="s">
        <v>101</v>
      </c>
      <c r="C68" s="566">
        <f>'5.tábla'!DN67</f>
        <v>300000</v>
      </c>
      <c r="D68" s="566">
        <f>'5.tábla'!DO67</f>
        <v>110000</v>
      </c>
      <c r="E68" s="566">
        <f>'5.tábla'!DP67</f>
        <v>107958.351</v>
      </c>
      <c r="F68" s="1094">
        <f t="shared" si="4"/>
        <v>98.14395545454545</v>
      </c>
      <c r="G68" s="6"/>
      <c r="H68" s="31"/>
      <c r="I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2.75">
      <c r="A69" s="1101"/>
      <c r="B69" s="1108" t="s">
        <v>877</v>
      </c>
      <c r="C69" s="566">
        <f>'5.tábla'!DN68</f>
        <v>0</v>
      </c>
      <c r="D69" s="566">
        <f>'5.tábla'!DO68</f>
        <v>0</v>
      </c>
      <c r="E69" s="566">
        <f>'5.tábla'!DP68</f>
        <v>0</v>
      </c>
      <c r="F69" s="1094">
        <v>0</v>
      </c>
      <c r="G69" s="6"/>
      <c r="H69" s="31"/>
      <c r="I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2.75">
      <c r="A70" s="1101"/>
      <c r="B70" s="1108" t="s">
        <v>102</v>
      </c>
      <c r="C70" s="566">
        <f>'5.tábla'!DN69</f>
        <v>0</v>
      </c>
      <c r="D70" s="566">
        <f>'5.tábla'!DO69</f>
        <v>0</v>
      </c>
      <c r="E70" s="566">
        <f>'5.tábla'!DP69</f>
        <v>0</v>
      </c>
      <c r="F70" s="1094">
        <v>0</v>
      </c>
      <c r="G70" s="6"/>
      <c r="H70" s="31"/>
      <c r="I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2.75">
      <c r="A71" s="1100" t="s">
        <v>156</v>
      </c>
      <c r="B71" s="1103" t="s">
        <v>178</v>
      </c>
      <c r="C71" s="564">
        <f>C72+C75+C76</f>
        <v>20682</v>
      </c>
      <c r="D71" s="564">
        <f>D72+D75+D76</f>
        <v>41795</v>
      </c>
      <c r="E71" s="564">
        <f>E72+E75+E76</f>
        <v>41795.05</v>
      </c>
      <c r="F71" s="371">
        <f aca="true" t="shared" si="5" ref="F71:F80">E71/D71*100</f>
        <v>100.00011963153487</v>
      </c>
      <c r="G71" s="6"/>
      <c r="H71" s="31"/>
      <c r="I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2.75">
      <c r="A72" s="1101"/>
      <c r="B72" s="1108" t="s">
        <v>336</v>
      </c>
      <c r="C72" s="567">
        <f>C73+C74</f>
        <v>20682</v>
      </c>
      <c r="D72" s="567">
        <f>D73+D74</f>
        <v>41795</v>
      </c>
      <c r="E72" s="567">
        <f>'5.tábla'!DP71</f>
        <v>41795.05</v>
      </c>
      <c r="F72" s="1094">
        <f t="shared" si="5"/>
        <v>100.00011963153487</v>
      </c>
      <c r="G72" s="6"/>
      <c r="H72" s="31"/>
      <c r="I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2.75">
      <c r="A73" s="1101"/>
      <c r="B73" s="1105" t="s">
        <v>103</v>
      </c>
      <c r="C73" s="571">
        <f>'5.tábla'!DN72</f>
        <v>20000</v>
      </c>
      <c r="D73" s="571">
        <f>'5.tábla'!DO72</f>
        <v>41113</v>
      </c>
      <c r="E73" s="571">
        <f>'5.tábla'!DP72</f>
        <v>41113.05</v>
      </c>
      <c r="F73" s="1095">
        <f t="shared" si="5"/>
        <v>100.00012161603387</v>
      </c>
      <c r="G73" s="6"/>
      <c r="H73" s="31"/>
      <c r="I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2.75">
      <c r="A74" s="1101"/>
      <c r="B74" s="1105" t="s">
        <v>104</v>
      </c>
      <c r="C74" s="571">
        <f>'5.tábla'!DN73</f>
        <v>682</v>
      </c>
      <c r="D74" s="571">
        <f>'5.tábla'!DO73</f>
        <v>682</v>
      </c>
      <c r="E74" s="571">
        <f>'5.tábla'!DP73</f>
        <v>682</v>
      </c>
      <c r="F74" s="1095">
        <f t="shared" si="5"/>
        <v>100</v>
      </c>
      <c r="G74" s="6"/>
      <c r="H74" s="31"/>
      <c r="I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2.75">
      <c r="A75" s="1101"/>
      <c r="B75" s="419" t="s">
        <v>105</v>
      </c>
      <c r="C75" s="567">
        <f>'5.tábla'!DN74</f>
        <v>0</v>
      </c>
      <c r="D75" s="567">
        <f>'5.tábla'!DO74</f>
        <v>0</v>
      </c>
      <c r="E75" s="567">
        <f>'5.tábla'!DP74</f>
        <v>0</v>
      </c>
      <c r="F75" s="1094">
        <v>0</v>
      </c>
      <c r="G75" s="6"/>
      <c r="H75" s="31"/>
      <c r="I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2.75">
      <c r="A76" s="1101"/>
      <c r="B76" s="419" t="s">
        <v>1103</v>
      </c>
      <c r="C76" s="567">
        <f>'5.tábla'!DN75</f>
        <v>0</v>
      </c>
      <c r="D76" s="567">
        <f>'5.tábla'!DO75</f>
        <v>0</v>
      </c>
      <c r="E76" s="668">
        <f>'5.tábla'!DP75</f>
        <v>0</v>
      </c>
      <c r="F76" s="1094">
        <v>0</v>
      </c>
      <c r="G76" s="6"/>
      <c r="H76" s="31"/>
      <c r="I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2.75">
      <c r="A77" s="1100" t="s">
        <v>157</v>
      </c>
      <c r="B77" s="1103" t="s">
        <v>251</v>
      </c>
      <c r="C77" s="1484">
        <f>SUM(C78:C80)</f>
        <v>26300</v>
      </c>
      <c r="D77" s="1484">
        <f>SUM(D78:D80)</f>
        <v>30160.09</v>
      </c>
      <c r="E77" s="1484">
        <f>SUM(E78:E80)</f>
        <v>30572</v>
      </c>
      <c r="F77" s="371">
        <f t="shared" si="5"/>
        <v>101.36574526137024</v>
      </c>
      <c r="G77" s="6"/>
      <c r="H77" s="31"/>
      <c r="I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2.75">
      <c r="A78" s="1478"/>
      <c r="B78" s="1479" t="s">
        <v>108</v>
      </c>
      <c r="C78" s="567">
        <f>'5.tábla'!DN77</f>
        <v>20000</v>
      </c>
      <c r="D78" s="567">
        <f>'5.tábla'!DO77</f>
        <v>23860.09</v>
      </c>
      <c r="E78" s="567">
        <f>'5.tábla'!DP77</f>
        <v>23860</v>
      </c>
      <c r="F78" s="1094">
        <f t="shared" si="5"/>
        <v>99.99962280108751</v>
      </c>
      <c r="G78" s="6"/>
      <c r="H78" s="31"/>
      <c r="I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2.75">
      <c r="A79" s="1478"/>
      <c r="B79" s="1479" t="s">
        <v>109</v>
      </c>
      <c r="C79" s="567">
        <f>'5.tábla'!DN78</f>
        <v>4800</v>
      </c>
      <c r="D79" s="567">
        <f>'5.tábla'!DO78</f>
        <v>4800</v>
      </c>
      <c r="E79" s="567">
        <f>'5.tábla'!DP78</f>
        <v>5212</v>
      </c>
      <c r="F79" s="1094">
        <f t="shared" si="5"/>
        <v>108.58333333333334</v>
      </c>
      <c r="G79" s="6"/>
      <c r="H79" s="31"/>
      <c r="I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2.75">
      <c r="A80" s="1480"/>
      <c r="B80" s="1481" t="s">
        <v>110</v>
      </c>
      <c r="C80" s="567">
        <f>'5.tábla'!DN79</f>
        <v>1500</v>
      </c>
      <c r="D80" s="567">
        <f>'5.tábla'!DO79</f>
        <v>1500</v>
      </c>
      <c r="E80" s="567">
        <f>'5.tábla'!DP79</f>
        <v>1500</v>
      </c>
      <c r="F80" s="1094">
        <f t="shared" si="5"/>
        <v>100</v>
      </c>
      <c r="G80" s="6"/>
      <c r="H80" s="31"/>
      <c r="I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2.75">
      <c r="A81" s="1100" t="s">
        <v>541</v>
      </c>
      <c r="B81" s="1103" t="s">
        <v>107</v>
      </c>
      <c r="C81" s="564">
        <f>SUM(C82:C83)</f>
        <v>0</v>
      </c>
      <c r="D81" s="564">
        <f>SUM(D82:D83)</f>
        <v>4480.28</v>
      </c>
      <c r="E81" s="799">
        <f>SUM(E82:E83)</f>
        <v>4480</v>
      </c>
      <c r="F81" s="1112">
        <f aca="true" t="shared" si="6" ref="F81:F87">E81/D81*100</f>
        <v>99.99375039060058</v>
      </c>
      <c r="G81" s="13"/>
      <c r="H81" s="31"/>
      <c r="I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2.75">
      <c r="A82" s="1109" t="s">
        <v>482</v>
      </c>
      <c r="B82" s="1110" t="s">
        <v>899</v>
      </c>
      <c r="C82" s="572">
        <f>'5.tábla'!DN81</f>
        <v>0</v>
      </c>
      <c r="D82" s="572">
        <f>'5.tábla'!DO81</f>
        <v>4400.875</v>
      </c>
      <c r="E82" s="572">
        <f>'5.tábla'!DP81</f>
        <v>4401</v>
      </c>
      <c r="F82" s="1112">
        <f t="shared" si="6"/>
        <v>100.00284034424973</v>
      </c>
      <c r="G82" s="13"/>
      <c r="H82" s="31"/>
      <c r="I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2.75">
      <c r="A83" s="1109" t="s">
        <v>155</v>
      </c>
      <c r="B83" s="1110" t="s">
        <v>898</v>
      </c>
      <c r="C83" s="572">
        <f>'5.tábla'!DN82</f>
        <v>0</v>
      </c>
      <c r="D83" s="572">
        <f>'5.tábla'!DO82</f>
        <v>79.405</v>
      </c>
      <c r="E83" s="572">
        <f>'5.tábla'!DP82</f>
        <v>79</v>
      </c>
      <c r="F83" s="1112">
        <f t="shared" si="6"/>
        <v>99.48995655185442</v>
      </c>
      <c r="G83" s="13"/>
      <c r="H83" s="31"/>
      <c r="I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2.75" customHeight="1">
      <c r="A84" s="1113" t="s">
        <v>542</v>
      </c>
      <c r="B84" s="1114" t="s">
        <v>252</v>
      </c>
      <c r="C84" s="564">
        <f>SUM(C85:C86)</f>
        <v>0</v>
      </c>
      <c r="D84" s="564">
        <f>SUM(D85:D86)</f>
        <v>385923</v>
      </c>
      <c r="E84" s="799">
        <f>SUM(E85:E86)</f>
        <v>386312</v>
      </c>
      <c r="F84" s="1129">
        <f t="shared" si="6"/>
        <v>100.10079730930781</v>
      </c>
      <c r="G84" s="13"/>
      <c r="H84" s="31"/>
      <c r="I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2.75">
      <c r="A85" s="1113" t="s">
        <v>482</v>
      </c>
      <c r="B85" s="1114" t="s">
        <v>253</v>
      </c>
      <c r="C85" s="572">
        <f>'5.tábla'!DN84</f>
        <v>0</v>
      </c>
      <c r="D85" s="572">
        <f>'5.tábla'!DO84</f>
        <v>327244</v>
      </c>
      <c r="E85" s="572">
        <f>'5.tábla'!DP84</f>
        <v>328948</v>
      </c>
      <c r="F85" s="1112">
        <f t="shared" si="6"/>
        <v>100.52071237364169</v>
      </c>
      <c r="G85" s="13"/>
      <c r="H85" s="31"/>
      <c r="I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2.75">
      <c r="A86" s="1113" t="s">
        <v>155</v>
      </c>
      <c r="B86" s="1114" t="s">
        <v>254</v>
      </c>
      <c r="C86" s="572">
        <f>'5.tábla'!DN85</f>
        <v>0</v>
      </c>
      <c r="D86" s="572">
        <f>'5.tábla'!DO85</f>
        <v>58679</v>
      </c>
      <c r="E86" s="572">
        <f>'5.tábla'!DP85</f>
        <v>57364</v>
      </c>
      <c r="F86" s="1112">
        <f t="shared" si="6"/>
        <v>97.75899384788426</v>
      </c>
      <c r="G86" s="13"/>
      <c r="H86" s="31"/>
      <c r="I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24" customHeight="1">
      <c r="A87" s="1115" t="s">
        <v>1051</v>
      </c>
      <c r="B87" s="1116" t="s">
        <v>255</v>
      </c>
      <c r="C87" s="561">
        <f>C13+C43+C54+C81+C84</f>
        <v>13898337</v>
      </c>
      <c r="D87" s="561">
        <f>D13+D43+D54+D81+D84</f>
        <v>14056452.879999999</v>
      </c>
      <c r="E87" s="561">
        <f>E13+E43+E54+E81+E84</f>
        <v>14611176.335</v>
      </c>
      <c r="F87" s="371">
        <f t="shared" si="6"/>
        <v>103.94639714397138</v>
      </c>
      <c r="G87" s="13"/>
      <c r="H87" s="31"/>
      <c r="I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2.75">
      <c r="A88" s="1111" t="s">
        <v>904</v>
      </c>
      <c r="B88" s="1117" t="s">
        <v>112</v>
      </c>
      <c r="C88" s="561">
        <f>SUM(C89:C90)</f>
        <v>0</v>
      </c>
      <c r="D88" s="561">
        <f>SUM(D89:D90)</f>
        <v>0</v>
      </c>
      <c r="E88" s="750">
        <f>SUM(E89:E90)</f>
        <v>0</v>
      </c>
      <c r="F88" s="1118">
        <v>0</v>
      </c>
      <c r="G88" s="13"/>
      <c r="H88" s="31"/>
      <c r="I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2.75">
      <c r="A89" s="1109" t="s">
        <v>482</v>
      </c>
      <c r="B89" s="1110" t="s">
        <v>113</v>
      </c>
      <c r="C89" s="572">
        <f>'5.tábla'!DN88</f>
        <v>0</v>
      </c>
      <c r="D89" s="572">
        <f>'5.tábla'!DO88</f>
        <v>0</v>
      </c>
      <c r="E89" s="572">
        <f>'5.tábla'!DP88</f>
        <v>0</v>
      </c>
      <c r="F89" s="1485">
        <v>0</v>
      </c>
      <c r="G89" s="13"/>
      <c r="H89" s="31"/>
      <c r="I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2.75">
      <c r="A90" s="1109" t="s">
        <v>155</v>
      </c>
      <c r="B90" s="1110" t="s">
        <v>114</v>
      </c>
      <c r="C90" s="572">
        <f>'5.tábla'!DN89</f>
        <v>0</v>
      </c>
      <c r="D90" s="572">
        <f>'5.tábla'!DO89</f>
        <v>0</v>
      </c>
      <c r="E90" s="572">
        <f>'5.tábla'!DP89</f>
        <v>0</v>
      </c>
      <c r="F90" s="1485">
        <v>0</v>
      </c>
      <c r="G90" s="13"/>
      <c r="H90" s="31"/>
      <c r="I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2.75">
      <c r="A91" s="1113" t="s">
        <v>111</v>
      </c>
      <c r="B91" s="1120" t="s">
        <v>115</v>
      </c>
      <c r="C91" s="561">
        <f>SUM(C92:C93)</f>
        <v>850000</v>
      </c>
      <c r="D91" s="561">
        <f>SUM(D92:D93)</f>
        <v>4943491</v>
      </c>
      <c r="E91" s="750">
        <f>SUM(E92:E93)</f>
        <v>2064464.926</v>
      </c>
      <c r="F91" s="1118">
        <f>E91/D91*100</f>
        <v>41.761276110343886</v>
      </c>
      <c r="G91" s="13"/>
      <c r="H91" s="31"/>
      <c r="I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3.5" thickBot="1">
      <c r="A92" s="1100"/>
      <c r="B92" s="1121" t="s">
        <v>121</v>
      </c>
      <c r="C92" s="798">
        <f>'5.tábla'!DN91+'5.tábla'!DN92+'5.tábla'!DN93+'5.tábla'!DN94</f>
        <v>850000</v>
      </c>
      <c r="D92" s="798">
        <f>'5.tábla'!DO91+'5.tábla'!DO92+'5.tábla'!DO93+'5.tábla'!DO94</f>
        <v>4943491</v>
      </c>
      <c r="E92" s="798">
        <f>'5.tábla'!DP91+'5.tábla'!DP92+'5.tábla'!DP93+'5.tábla'!DP94</f>
        <v>2140314.926</v>
      </c>
      <c r="F92" s="1118">
        <f>E92/D92*100</f>
        <v>43.29561692334425</v>
      </c>
      <c r="G92" s="13"/>
      <c r="H92" s="31"/>
      <c r="I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3.5" thickBot="1">
      <c r="A93" s="1122"/>
      <c r="B93" s="1123" t="s">
        <v>191</v>
      </c>
      <c r="C93" s="573"/>
      <c r="D93" s="573"/>
      <c r="E93" s="1124">
        <f>'5.tábla'!DP95</f>
        <v>-75850</v>
      </c>
      <c r="F93" s="1125"/>
      <c r="G93" s="13"/>
      <c r="H93" s="31"/>
      <c r="I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24.75" customHeight="1" thickBot="1">
      <c r="A94" s="1255"/>
      <c r="B94" s="670" t="s">
        <v>122</v>
      </c>
      <c r="C94" s="573">
        <f>C87+C88+C91</f>
        <v>14748337</v>
      </c>
      <c r="D94" s="573">
        <f>D87+D88+D91</f>
        <v>18999943.88</v>
      </c>
      <c r="E94" s="751">
        <f>E87+E88+E91</f>
        <v>16675641.261</v>
      </c>
      <c r="F94" s="1126">
        <f>E94/D94*100</f>
        <v>87.76679218801988</v>
      </c>
      <c r="G94" s="13"/>
      <c r="H94" s="31"/>
      <c r="I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2.75">
      <c r="A95" s="31"/>
      <c r="B95" s="31"/>
      <c r="C95" s="31"/>
      <c r="D95" s="31"/>
      <c r="E95" s="31"/>
      <c r="F95" s="31"/>
      <c r="G95" s="13"/>
      <c r="H95" s="31"/>
      <c r="I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5" ht="15.75" hidden="1">
      <c r="A96" s="4"/>
      <c r="B96" s="13"/>
      <c r="C96" s="1073"/>
      <c r="D96" s="5">
        <f>T_2_kiadás_2013!D39-D94</f>
        <v>0.06599999964237213</v>
      </c>
      <c r="E96" s="5">
        <f>E92-D92</f>
        <v>-2803176.074</v>
      </c>
    </row>
    <row r="97" spans="1:5" ht="15.75">
      <c r="A97" s="4"/>
      <c r="B97" s="13"/>
      <c r="C97" s="1073"/>
      <c r="D97" s="5"/>
      <c r="E97" s="5"/>
    </row>
    <row r="98" spans="1:5" ht="12.75">
      <c r="A98" s="4"/>
      <c r="C98" s="1074"/>
      <c r="D98" s="1074"/>
      <c r="E98" s="1074"/>
    </row>
    <row r="99" spans="1:4" ht="12.75">
      <c r="A99" s="4"/>
      <c r="D99" s="1074"/>
    </row>
    <row r="100" ht="12.75">
      <c r="D100" s="1074"/>
    </row>
    <row r="101" ht="12.75">
      <c r="D101" s="1074"/>
    </row>
    <row r="102" ht="12.75">
      <c r="D102" s="1074"/>
    </row>
  </sheetData>
  <sheetProtection/>
  <mergeCells count="2">
    <mergeCell ref="A6:F6"/>
    <mergeCell ref="A7:F7"/>
  </mergeCells>
  <printOptions horizontalCentered="1" verticalCentered="1"/>
  <pageMargins left="0" right="0" top="0.3937007874015748" bottom="0.1968503937007874" header="0.1968503937007874" footer="0.11811023622047245"/>
  <pageSetup horizontalDpi="300" verticalDpi="3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Q47"/>
  <sheetViews>
    <sheetView zoomScaleSheetLayoutView="80" zoomScalePageLayoutView="0" workbookViewId="0" topLeftCell="N1">
      <selection activeCell="X3" sqref="X3"/>
    </sheetView>
  </sheetViews>
  <sheetFormatPr defaultColWidth="9.00390625" defaultRowHeight="12.75"/>
  <cols>
    <col min="1" max="1" width="7.375" style="86" customWidth="1"/>
    <col min="2" max="2" width="50.75390625" style="86" customWidth="1"/>
    <col min="3" max="3" width="11.875" style="86" hidden="1" customWidth="1"/>
    <col min="4" max="6" width="11.75390625" style="86" customWidth="1"/>
    <col min="7" max="9" width="10.75390625" style="86" customWidth="1"/>
    <col min="10" max="21" width="8.875" style="86" customWidth="1"/>
    <col min="22" max="24" width="11.125" style="86" customWidth="1"/>
    <col min="25" max="33" width="8.875" style="86" customWidth="1"/>
    <col min="34" max="36" width="11.00390625" style="86" customWidth="1"/>
    <col min="37" max="48" width="8.875" style="86" customWidth="1"/>
    <col min="49" max="51" width="11.75390625" style="86" customWidth="1"/>
    <col min="52" max="54" width="9.125" style="86" customWidth="1"/>
    <col min="55" max="57" width="10.75390625" style="86" customWidth="1"/>
    <col min="58" max="58" width="8.875" style="86" customWidth="1"/>
    <col min="59" max="60" width="10.75390625" style="86" customWidth="1"/>
    <col min="61" max="63" width="12.75390625" style="86" customWidth="1"/>
    <col min="64" max="90" width="8.875" style="86" customWidth="1"/>
    <col min="91" max="93" width="10.75390625" style="86" customWidth="1"/>
    <col min="94" max="94" width="12.75390625" style="86" customWidth="1"/>
    <col min="95" max="95" width="12.875" style="86" customWidth="1"/>
    <col min="96" max="96" width="12.75390625" style="86" customWidth="1"/>
    <col min="97" max="97" width="9.25390625" style="86" customWidth="1"/>
    <col min="98" max="98" width="8.875" style="86" customWidth="1"/>
    <col min="99" max="102" width="9.625" style="86" customWidth="1"/>
    <col min="103" max="103" width="9.25390625" style="86" customWidth="1"/>
    <col min="104" max="104" width="10.00390625" style="86" customWidth="1"/>
    <col min="105" max="105" width="9.25390625" style="86" customWidth="1"/>
    <col min="106" max="108" width="10.75390625" style="86" customWidth="1"/>
    <col min="109" max="111" width="12.75390625" style="86" customWidth="1"/>
    <col min="112" max="117" width="10.75390625" style="86" customWidth="1"/>
    <col min="118" max="120" width="12.75390625" style="86" customWidth="1"/>
    <col min="121" max="121" width="9.25390625" style="86" bestFit="1" customWidth="1"/>
    <col min="122" max="16384" width="9.125" style="86" customWidth="1"/>
  </cols>
  <sheetData>
    <row r="1" ht="6" customHeight="1"/>
    <row r="2" spans="24:121" ht="19.5" customHeight="1">
      <c r="X2" s="1077" t="s">
        <v>1258</v>
      </c>
      <c r="AA2" s="1077"/>
      <c r="AS2" s="1077" t="s">
        <v>970</v>
      </c>
      <c r="AY2" s="1127"/>
      <c r="BB2" s="1077"/>
      <c r="BK2" s="1077" t="s">
        <v>973</v>
      </c>
      <c r="BZ2" s="1077"/>
      <c r="CF2" s="1077" t="s">
        <v>1177</v>
      </c>
      <c r="DA2" s="1077" t="s">
        <v>974</v>
      </c>
      <c r="DQ2" s="1077" t="s">
        <v>306</v>
      </c>
    </row>
    <row r="3" spans="24:27" ht="19.5" customHeight="1">
      <c r="X3" s="1077" t="s">
        <v>71</v>
      </c>
      <c r="AA3" s="1077"/>
    </row>
    <row r="4" spans="24:121" ht="30" customHeight="1" hidden="1">
      <c r="X4" s="1128" t="s">
        <v>324</v>
      </c>
      <c r="AA4" s="1128"/>
      <c r="AS4" s="1128" t="s">
        <v>969</v>
      </c>
      <c r="AY4" s="1128"/>
      <c r="BB4" s="1128"/>
      <c r="BK4" s="1128" t="s">
        <v>971</v>
      </c>
      <c r="BZ4" s="1128"/>
      <c r="CF4" s="1128" t="s">
        <v>649</v>
      </c>
      <c r="DA4" s="1128" t="s">
        <v>972</v>
      </c>
      <c r="DQ4" s="1128" t="s">
        <v>975</v>
      </c>
    </row>
    <row r="5" spans="4:24" ht="32.25" customHeight="1">
      <c r="D5" s="2220" t="s">
        <v>1080</v>
      </c>
      <c r="E5" s="2220"/>
      <c r="F5" s="2220"/>
      <c r="G5" s="2220"/>
      <c r="H5" s="2220"/>
      <c r="I5" s="2220"/>
      <c r="J5" s="2220"/>
      <c r="K5" s="2220"/>
      <c r="L5" s="2220"/>
      <c r="M5" s="2220"/>
      <c r="N5" s="2220"/>
      <c r="O5" s="2220"/>
      <c r="P5" s="2220"/>
      <c r="Q5" s="2220"/>
      <c r="R5" s="2220"/>
      <c r="S5" s="2220"/>
      <c r="T5" s="2220"/>
      <c r="U5" s="2220"/>
      <c r="V5" s="2220"/>
      <c r="W5" s="2220"/>
      <c r="X5" s="2220"/>
    </row>
    <row r="6" spans="4:24" ht="16.5" customHeight="1">
      <c r="D6" s="2219" t="s">
        <v>72</v>
      </c>
      <c r="E6" s="2219"/>
      <c r="F6" s="2219"/>
      <c r="G6" s="2219"/>
      <c r="H6" s="2219"/>
      <c r="I6" s="2219"/>
      <c r="J6" s="2219"/>
      <c r="K6" s="2219"/>
      <c r="L6" s="2219"/>
      <c r="M6" s="2219"/>
      <c r="N6" s="2219"/>
      <c r="O6" s="2219"/>
      <c r="P6" s="2219"/>
      <c r="Q6" s="2219"/>
      <c r="R6" s="2219"/>
      <c r="S6" s="2219"/>
      <c r="T6" s="2219"/>
      <c r="U6" s="2219"/>
      <c r="V6" s="2219"/>
      <c r="W6" s="2219"/>
      <c r="X6" s="2219"/>
    </row>
    <row r="7" ht="30.75" customHeight="1" thickBot="1"/>
    <row r="8" spans="1:121" ht="12.75" customHeight="1">
      <c r="A8" s="104" t="s">
        <v>878</v>
      </c>
      <c r="B8" s="104" t="s">
        <v>878</v>
      </c>
      <c r="C8" s="575"/>
      <c r="D8" s="2198" t="s">
        <v>1083</v>
      </c>
      <c r="E8" s="2200"/>
      <c r="F8" s="2201"/>
      <c r="G8" s="2198" t="s">
        <v>397</v>
      </c>
      <c r="H8" s="2200"/>
      <c r="I8" s="2201"/>
      <c r="J8" s="105" t="s">
        <v>1085</v>
      </c>
      <c r="K8" s="106"/>
      <c r="L8" s="106"/>
      <c r="M8" s="2198" t="s">
        <v>1086</v>
      </c>
      <c r="N8" s="2199"/>
      <c r="O8" s="2199"/>
      <c r="P8" s="2198" t="s">
        <v>1088</v>
      </c>
      <c r="Q8" s="2199"/>
      <c r="R8" s="2205"/>
      <c r="S8" s="2198" t="s">
        <v>1089</v>
      </c>
      <c r="T8" s="2199"/>
      <c r="U8" s="2205"/>
      <c r="V8" s="2198" t="s">
        <v>1090</v>
      </c>
      <c r="W8" s="2200"/>
      <c r="X8" s="2201"/>
      <c r="Y8" s="2198" t="s">
        <v>790</v>
      </c>
      <c r="Z8" s="2199"/>
      <c r="AA8" s="2199"/>
      <c r="AB8" s="2198" t="s">
        <v>1091</v>
      </c>
      <c r="AC8" s="2199"/>
      <c r="AD8" s="2199"/>
      <c r="AE8" s="2198" t="s">
        <v>792</v>
      </c>
      <c r="AF8" s="2199"/>
      <c r="AG8" s="2199"/>
      <c r="AH8" s="2198" t="s">
        <v>1092</v>
      </c>
      <c r="AI8" s="2199"/>
      <c r="AJ8" s="2199"/>
      <c r="AK8" s="2198" t="s">
        <v>1093</v>
      </c>
      <c r="AL8" s="2200"/>
      <c r="AM8" s="2201"/>
      <c r="AN8" s="2198" t="s">
        <v>1094</v>
      </c>
      <c r="AO8" s="2200"/>
      <c r="AP8" s="2201"/>
      <c r="AQ8" s="2198" t="s">
        <v>1095</v>
      </c>
      <c r="AR8" s="2200"/>
      <c r="AS8" s="2201"/>
      <c r="AT8" s="2198" t="s">
        <v>1096</v>
      </c>
      <c r="AU8" s="2200"/>
      <c r="AV8" s="2201"/>
      <c r="AW8" s="2221" t="s">
        <v>1097</v>
      </c>
      <c r="AX8" s="2222"/>
      <c r="AY8" s="2223"/>
      <c r="AZ8" s="2198" t="s">
        <v>398</v>
      </c>
      <c r="BA8" s="2199"/>
      <c r="BB8" s="2205"/>
      <c r="BC8" s="2198" t="s">
        <v>1099</v>
      </c>
      <c r="BD8" s="2199"/>
      <c r="BE8" s="2205"/>
      <c r="BF8" s="2221" t="s">
        <v>1101</v>
      </c>
      <c r="BG8" s="2222"/>
      <c r="BH8" s="2223"/>
      <c r="BI8" s="2235" t="s">
        <v>779</v>
      </c>
      <c r="BJ8" s="2236"/>
      <c r="BK8" s="2237"/>
      <c r="BL8" s="2221" t="s">
        <v>218</v>
      </c>
      <c r="BM8" s="2222"/>
      <c r="BN8" s="2223"/>
      <c r="BO8" s="2221" t="s">
        <v>780</v>
      </c>
      <c r="BP8" s="2222"/>
      <c r="BQ8" s="2223"/>
      <c r="BR8" s="2198" t="s">
        <v>782</v>
      </c>
      <c r="BS8" s="2199"/>
      <c r="BT8" s="2205"/>
      <c r="BU8" s="2190" t="s">
        <v>784</v>
      </c>
      <c r="BV8" s="2191"/>
      <c r="BW8" s="2192"/>
      <c r="BX8" s="2190" t="s">
        <v>129</v>
      </c>
      <c r="BY8" s="2191"/>
      <c r="BZ8" s="2192"/>
      <c r="CA8" s="2190" t="s">
        <v>219</v>
      </c>
      <c r="CB8" s="2191"/>
      <c r="CC8" s="2192"/>
      <c r="CD8" s="2190" t="s">
        <v>786</v>
      </c>
      <c r="CE8" s="2191"/>
      <c r="CF8" s="2192"/>
      <c r="CG8" s="2227" t="s">
        <v>66</v>
      </c>
      <c r="CH8" s="2228"/>
      <c r="CI8" s="2229"/>
      <c r="CJ8" s="2198" t="s">
        <v>788</v>
      </c>
      <c r="CK8" s="2199"/>
      <c r="CL8" s="2205"/>
      <c r="CM8" s="2202" t="s">
        <v>789</v>
      </c>
      <c r="CN8" s="2203"/>
      <c r="CO8" s="2204"/>
      <c r="CP8" s="2202" t="s">
        <v>399</v>
      </c>
      <c r="CQ8" s="2203"/>
      <c r="CR8" s="2203"/>
      <c r="CS8" s="2198" t="s">
        <v>793</v>
      </c>
      <c r="CT8" s="2199"/>
      <c r="CU8" s="2205"/>
      <c r="CV8" s="2198" t="s">
        <v>38</v>
      </c>
      <c r="CW8" s="2199"/>
      <c r="CX8" s="2205"/>
      <c r="CY8" s="2200" t="s">
        <v>401</v>
      </c>
      <c r="CZ8" s="2199"/>
      <c r="DA8" s="2205"/>
      <c r="DB8" s="2198" t="s">
        <v>795</v>
      </c>
      <c r="DC8" s="2200"/>
      <c r="DD8" s="2201"/>
      <c r="DE8" s="2202" t="s">
        <v>526</v>
      </c>
      <c r="DF8" s="2203"/>
      <c r="DG8" s="2203"/>
      <c r="DH8" s="2198" t="s">
        <v>349</v>
      </c>
      <c r="DI8" s="2200"/>
      <c r="DJ8" s="2201"/>
      <c r="DK8" s="2198" t="s">
        <v>227</v>
      </c>
      <c r="DL8" s="2200"/>
      <c r="DM8" s="2201"/>
      <c r="DN8" s="2202" t="s">
        <v>1073</v>
      </c>
      <c r="DO8" s="2203"/>
      <c r="DP8" s="2203"/>
      <c r="DQ8" s="107"/>
    </row>
    <row r="9" spans="1:121" ht="12.75" customHeight="1" thickBot="1">
      <c r="A9" s="108" t="s">
        <v>530</v>
      </c>
      <c r="B9" s="108" t="s">
        <v>527</v>
      </c>
      <c r="C9" s="589"/>
      <c r="D9" s="2193" t="s">
        <v>1084</v>
      </c>
      <c r="E9" s="2194"/>
      <c r="F9" s="2195"/>
      <c r="G9" s="109"/>
      <c r="H9" s="110"/>
      <c r="I9" s="110"/>
      <c r="J9" s="109"/>
      <c r="K9" s="110"/>
      <c r="L9" s="110"/>
      <c r="M9" s="2193" t="s">
        <v>1087</v>
      </c>
      <c r="N9" s="2194"/>
      <c r="O9" s="2195"/>
      <c r="P9" s="2193" t="s">
        <v>220</v>
      </c>
      <c r="Q9" s="2196"/>
      <c r="R9" s="2197"/>
      <c r="S9" s="2193"/>
      <c r="T9" s="2196"/>
      <c r="U9" s="2197"/>
      <c r="V9" s="2193"/>
      <c r="W9" s="2194"/>
      <c r="X9" s="2195"/>
      <c r="Y9" s="2193" t="s">
        <v>791</v>
      </c>
      <c r="Z9" s="2196"/>
      <c r="AA9" s="2197"/>
      <c r="AB9" s="2193"/>
      <c r="AC9" s="2194"/>
      <c r="AD9" s="2195"/>
      <c r="AE9" s="2193" t="s">
        <v>221</v>
      </c>
      <c r="AF9" s="2194"/>
      <c r="AG9" s="2195"/>
      <c r="AH9" s="1262"/>
      <c r="AI9" s="1263"/>
      <c r="AJ9" s="1264"/>
      <c r="AK9" s="2193" t="s">
        <v>220</v>
      </c>
      <c r="AL9" s="2194"/>
      <c r="AM9" s="2195"/>
      <c r="AN9" s="2193"/>
      <c r="AO9" s="2194"/>
      <c r="AP9" s="2195"/>
      <c r="AQ9" s="1262"/>
      <c r="AR9" s="1263"/>
      <c r="AS9" s="1264"/>
      <c r="AT9" s="1262"/>
      <c r="AU9" s="1263"/>
      <c r="AV9" s="1264"/>
      <c r="AW9" s="2230" t="s">
        <v>1098</v>
      </c>
      <c r="AX9" s="2231"/>
      <c r="AY9" s="2232"/>
      <c r="AZ9" s="111"/>
      <c r="BA9" s="112"/>
      <c r="BB9" s="790"/>
      <c r="BC9" s="2193" t="s">
        <v>1100</v>
      </c>
      <c r="BD9" s="2196"/>
      <c r="BE9" s="2197"/>
      <c r="BF9" s="2230" t="s">
        <v>1102</v>
      </c>
      <c r="BG9" s="2231"/>
      <c r="BH9" s="2232"/>
      <c r="BI9" s="2213" t="s">
        <v>879</v>
      </c>
      <c r="BJ9" s="2233"/>
      <c r="BK9" s="2234"/>
      <c r="BL9" s="2230" t="s">
        <v>221</v>
      </c>
      <c r="BM9" s="2231"/>
      <c r="BN9" s="2232"/>
      <c r="BO9" s="2230" t="s">
        <v>781</v>
      </c>
      <c r="BP9" s="2231"/>
      <c r="BQ9" s="2232"/>
      <c r="BR9" s="2193" t="s">
        <v>783</v>
      </c>
      <c r="BS9" s="2196"/>
      <c r="BT9" s="2197"/>
      <c r="BU9" s="1136"/>
      <c r="BV9" s="1137"/>
      <c r="BW9" s="1138"/>
      <c r="BX9" s="1136"/>
      <c r="BY9" s="1137"/>
      <c r="BZ9" s="1138"/>
      <c r="CA9" s="2206" t="s">
        <v>785</v>
      </c>
      <c r="CB9" s="2207"/>
      <c r="CC9" s="2208"/>
      <c r="CD9" s="2206" t="s">
        <v>220</v>
      </c>
      <c r="CE9" s="2207"/>
      <c r="CF9" s="2208"/>
      <c r="CG9" s="2224" t="s">
        <v>787</v>
      </c>
      <c r="CH9" s="2225"/>
      <c r="CI9" s="2226"/>
      <c r="CJ9" s="2193"/>
      <c r="CK9" s="2196"/>
      <c r="CL9" s="2197"/>
      <c r="CM9" s="2216" t="s">
        <v>879</v>
      </c>
      <c r="CN9" s="2217"/>
      <c r="CO9" s="2218"/>
      <c r="CP9" s="2213" t="s">
        <v>400</v>
      </c>
      <c r="CQ9" s="2214"/>
      <c r="CR9" s="2215"/>
      <c r="CS9" s="2193" t="s">
        <v>794</v>
      </c>
      <c r="CT9" s="2196"/>
      <c r="CU9" s="2197"/>
      <c r="CV9" s="2193"/>
      <c r="CW9" s="2196"/>
      <c r="CX9" s="2197"/>
      <c r="CY9" s="2196"/>
      <c r="CZ9" s="2196"/>
      <c r="DA9" s="2197"/>
      <c r="DB9" s="2193"/>
      <c r="DC9" s="2194"/>
      <c r="DD9" s="2195"/>
      <c r="DE9" s="2214" t="s">
        <v>879</v>
      </c>
      <c r="DF9" s="2214"/>
      <c r="DG9" s="2215"/>
      <c r="DH9" s="2193" t="s">
        <v>797</v>
      </c>
      <c r="DI9" s="2194"/>
      <c r="DJ9" s="2195"/>
      <c r="DK9" s="2193"/>
      <c r="DL9" s="2194"/>
      <c r="DM9" s="2195"/>
      <c r="DN9" s="2213"/>
      <c r="DO9" s="2214"/>
      <c r="DP9" s="2215"/>
      <c r="DQ9" s="90" t="s">
        <v>305</v>
      </c>
    </row>
    <row r="10" spans="1:121" ht="12.75">
      <c r="A10" s="108"/>
      <c r="B10" s="108" t="s">
        <v>1123</v>
      </c>
      <c r="C10" s="589"/>
      <c r="D10" s="113" t="s">
        <v>222</v>
      </c>
      <c r="E10" s="114" t="s">
        <v>223</v>
      </c>
      <c r="F10" s="114" t="s">
        <v>302</v>
      </c>
      <c r="G10" s="113" t="s">
        <v>222</v>
      </c>
      <c r="H10" s="114" t="s">
        <v>223</v>
      </c>
      <c r="I10" s="114" t="s">
        <v>302</v>
      </c>
      <c r="J10" s="113" t="s">
        <v>222</v>
      </c>
      <c r="K10" s="114" t="s">
        <v>223</v>
      </c>
      <c r="L10" s="114" t="s">
        <v>302</v>
      </c>
      <c r="M10" s="113" t="s">
        <v>222</v>
      </c>
      <c r="N10" s="114" t="s">
        <v>223</v>
      </c>
      <c r="O10" s="114" t="s">
        <v>302</v>
      </c>
      <c r="P10" s="113" t="s">
        <v>222</v>
      </c>
      <c r="Q10" s="114" t="s">
        <v>223</v>
      </c>
      <c r="R10" s="114" t="s">
        <v>302</v>
      </c>
      <c r="S10" s="113" t="s">
        <v>222</v>
      </c>
      <c r="T10" s="114" t="s">
        <v>223</v>
      </c>
      <c r="U10" s="114" t="s">
        <v>302</v>
      </c>
      <c r="V10" s="113" t="s">
        <v>222</v>
      </c>
      <c r="W10" s="114" t="s">
        <v>223</v>
      </c>
      <c r="X10" s="114" t="s">
        <v>302</v>
      </c>
      <c r="Y10" s="113" t="s">
        <v>222</v>
      </c>
      <c r="Z10" s="114" t="s">
        <v>223</v>
      </c>
      <c r="AA10" s="114" t="s">
        <v>302</v>
      </c>
      <c r="AB10" s="113" t="s">
        <v>222</v>
      </c>
      <c r="AC10" s="114" t="s">
        <v>223</v>
      </c>
      <c r="AD10" s="114" t="s">
        <v>302</v>
      </c>
      <c r="AE10" s="113" t="s">
        <v>222</v>
      </c>
      <c r="AF10" s="114" t="s">
        <v>223</v>
      </c>
      <c r="AG10" s="114" t="s">
        <v>302</v>
      </c>
      <c r="AH10" s="113" t="s">
        <v>222</v>
      </c>
      <c r="AI10" s="114" t="s">
        <v>223</v>
      </c>
      <c r="AJ10" s="114" t="s">
        <v>302</v>
      </c>
      <c r="AK10" s="113" t="s">
        <v>222</v>
      </c>
      <c r="AL10" s="114" t="s">
        <v>223</v>
      </c>
      <c r="AM10" s="114" t="s">
        <v>302</v>
      </c>
      <c r="AN10" s="113" t="s">
        <v>222</v>
      </c>
      <c r="AO10" s="114" t="s">
        <v>223</v>
      </c>
      <c r="AP10" s="114" t="s">
        <v>302</v>
      </c>
      <c r="AQ10" s="113" t="s">
        <v>222</v>
      </c>
      <c r="AR10" s="114" t="s">
        <v>223</v>
      </c>
      <c r="AS10" s="114" t="s">
        <v>302</v>
      </c>
      <c r="AT10" s="113" t="s">
        <v>222</v>
      </c>
      <c r="AU10" s="114" t="s">
        <v>223</v>
      </c>
      <c r="AV10" s="114" t="s">
        <v>302</v>
      </c>
      <c r="AW10" s="113" t="s">
        <v>222</v>
      </c>
      <c r="AX10" s="114" t="s">
        <v>223</v>
      </c>
      <c r="AY10" s="114" t="s">
        <v>302</v>
      </c>
      <c r="AZ10" s="113" t="s">
        <v>222</v>
      </c>
      <c r="BA10" s="114" t="s">
        <v>223</v>
      </c>
      <c r="BB10" s="114" t="s">
        <v>302</v>
      </c>
      <c r="BC10" s="113" t="s">
        <v>222</v>
      </c>
      <c r="BD10" s="114" t="s">
        <v>223</v>
      </c>
      <c r="BE10" s="114" t="s">
        <v>302</v>
      </c>
      <c r="BF10" s="113" t="s">
        <v>222</v>
      </c>
      <c r="BG10" s="114" t="s">
        <v>223</v>
      </c>
      <c r="BH10" s="114" t="s">
        <v>302</v>
      </c>
      <c r="BI10" s="113" t="s">
        <v>222</v>
      </c>
      <c r="BJ10" s="114" t="s">
        <v>223</v>
      </c>
      <c r="BK10" s="114" t="s">
        <v>302</v>
      </c>
      <c r="BL10" s="113" t="s">
        <v>222</v>
      </c>
      <c r="BM10" s="114" t="s">
        <v>223</v>
      </c>
      <c r="BN10" s="114" t="s">
        <v>302</v>
      </c>
      <c r="BO10" s="113" t="s">
        <v>222</v>
      </c>
      <c r="BP10" s="114" t="s">
        <v>223</v>
      </c>
      <c r="BQ10" s="114" t="s">
        <v>302</v>
      </c>
      <c r="BR10" s="113" t="s">
        <v>222</v>
      </c>
      <c r="BS10" s="114" t="s">
        <v>223</v>
      </c>
      <c r="BT10" s="114" t="s">
        <v>302</v>
      </c>
      <c r="BU10" s="113" t="s">
        <v>222</v>
      </c>
      <c r="BV10" s="114" t="s">
        <v>223</v>
      </c>
      <c r="BW10" s="114" t="s">
        <v>302</v>
      </c>
      <c r="BX10" s="113" t="s">
        <v>222</v>
      </c>
      <c r="BY10" s="114" t="s">
        <v>223</v>
      </c>
      <c r="BZ10" s="114" t="s">
        <v>302</v>
      </c>
      <c r="CA10" s="113" t="s">
        <v>222</v>
      </c>
      <c r="CB10" s="114" t="s">
        <v>223</v>
      </c>
      <c r="CC10" s="114" t="s">
        <v>302</v>
      </c>
      <c r="CD10" s="113" t="s">
        <v>222</v>
      </c>
      <c r="CE10" s="114" t="s">
        <v>223</v>
      </c>
      <c r="CF10" s="114" t="s">
        <v>302</v>
      </c>
      <c r="CG10" s="113" t="s">
        <v>222</v>
      </c>
      <c r="CH10" s="114" t="s">
        <v>223</v>
      </c>
      <c r="CI10" s="114" t="s">
        <v>302</v>
      </c>
      <c r="CJ10" s="113" t="s">
        <v>222</v>
      </c>
      <c r="CK10" s="114" t="s">
        <v>223</v>
      </c>
      <c r="CL10" s="114" t="s">
        <v>302</v>
      </c>
      <c r="CM10" s="113" t="s">
        <v>222</v>
      </c>
      <c r="CN10" s="114" t="s">
        <v>223</v>
      </c>
      <c r="CO10" s="114" t="s">
        <v>302</v>
      </c>
      <c r="CP10" s="115" t="s">
        <v>222</v>
      </c>
      <c r="CQ10" s="60" t="s">
        <v>223</v>
      </c>
      <c r="CR10" s="60" t="s">
        <v>302</v>
      </c>
      <c r="CS10" s="113" t="s">
        <v>222</v>
      </c>
      <c r="CT10" s="114" t="s">
        <v>223</v>
      </c>
      <c r="CU10" s="114" t="s">
        <v>302</v>
      </c>
      <c r="CV10" s="113" t="s">
        <v>222</v>
      </c>
      <c r="CW10" s="114" t="s">
        <v>223</v>
      </c>
      <c r="CX10" s="114" t="s">
        <v>302</v>
      </c>
      <c r="CY10" s="113" t="s">
        <v>222</v>
      </c>
      <c r="CZ10" s="114" t="s">
        <v>223</v>
      </c>
      <c r="DA10" s="114" t="s">
        <v>302</v>
      </c>
      <c r="DB10" s="113" t="s">
        <v>222</v>
      </c>
      <c r="DC10" s="114" t="s">
        <v>223</v>
      </c>
      <c r="DD10" s="114" t="s">
        <v>302</v>
      </c>
      <c r="DE10" s="115" t="s">
        <v>222</v>
      </c>
      <c r="DF10" s="60" t="s">
        <v>223</v>
      </c>
      <c r="DG10" s="60" t="s">
        <v>302</v>
      </c>
      <c r="DH10" s="113" t="s">
        <v>222</v>
      </c>
      <c r="DI10" s="114" t="s">
        <v>223</v>
      </c>
      <c r="DJ10" s="114" t="s">
        <v>302</v>
      </c>
      <c r="DK10" s="113" t="s">
        <v>222</v>
      </c>
      <c r="DL10" s="114" t="s">
        <v>223</v>
      </c>
      <c r="DM10" s="114" t="s">
        <v>302</v>
      </c>
      <c r="DN10" s="115" t="s">
        <v>222</v>
      </c>
      <c r="DO10" s="60" t="s">
        <v>223</v>
      </c>
      <c r="DP10" s="60" t="s">
        <v>302</v>
      </c>
      <c r="DQ10" s="90" t="s">
        <v>303</v>
      </c>
    </row>
    <row r="11" spans="1:121" ht="13.5" thickBot="1">
      <c r="A11" s="116"/>
      <c r="B11" s="116"/>
      <c r="C11" s="331"/>
      <c r="D11" s="2209" t="s">
        <v>4</v>
      </c>
      <c r="E11" s="2210"/>
      <c r="F11" s="117"/>
      <c r="G11" s="2209" t="s">
        <v>4</v>
      </c>
      <c r="H11" s="2210"/>
      <c r="I11" s="117"/>
      <c r="J11" s="2209" t="s">
        <v>4</v>
      </c>
      <c r="K11" s="2210"/>
      <c r="L11" s="117"/>
      <c r="M11" s="2209" t="s">
        <v>4</v>
      </c>
      <c r="N11" s="2210"/>
      <c r="O11" s="117"/>
      <c r="P11" s="2209" t="s">
        <v>4</v>
      </c>
      <c r="Q11" s="2210"/>
      <c r="R11" s="117"/>
      <c r="S11" s="2209" t="s">
        <v>4</v>
      </c>
      <c r="T11" s="2210"/>
      <c r="U11" s="117"/>
      <c r="V11" s="2209" t="s">
        <v>4</v>
      </c>
      <c r="W11" s="2210"/>
      <c r="X11" s="117"/>
      <c r="Y11" s="2209" t="s">
        <v>4</v>
      </c>
      <c r="Z11" s="2210"/>
      <c r="AA11" s="117"/>
      <c r="AB11" s="2209" t="s">
        <v>4</v>
      </c>
      <c r="AC11" s="2210"/>
      <c r="AD11" s="117"/>
      <c r="AE11" s="2209" t="s">
        <v>4</v>
      </c>
      <c r="AF11" s="2210"/>
      <c r="AG11" s="117"/>
      <c r="AH11" s="2209" t="s">
        <v>4</v>
      </c>
      <c r="AI11" s="2210"/>
      <c r="AJ11" s="117"/>
      <c r="AK11" s="2209" t="s">
        <v>4</v>
      </c>
      <c r="AL11" s="2210"/>
      <c r="AM11" s="117"/>
      <c r="AN11" s="2209" t="s">
        <v>4</v>
      </c>
      <c r="AO11" s="2210"/>
      <c r="AP11" s="117"/>
      <c r="AQ11" s="2209" t="s">
        <v>4</v>
      </c>
      <c r="AR11" s="2210"/>
      <c r="AS11" s="117"/>
      <c r="AT11" s="2209" t="s">
        <v>4</v>
      </c>
      <c r="AU11" s="2210"/>
      <c r="AV11" s="117"/>
      <c r="AW11" s="2209" t="s">
        <v>4</v>
      </c>
      <c r="AX11" s="2210"/>
      <c r="AY11" s="117"/>
      <c r="AZ11" s="2209" t="s">
        <v>4</v>
      </c>
      <c r="BA11" s="2210"/>
      <c r="BB11" s="117"/>
      <c r="BC11" s="2209" t="s">
        <v>4</v>
      </c>
      <c r="BD11" s="2210"/>
      <c r="BE11" s="117"/>
      <c r="BF11" s="2209" t="s">
        <v>4</v>
      </c>
      <c r="BG11" s="2210"/>
      <c r="BH11" s="117"/>
      <c r="BI11" s="2209" t="s">
        <v>4</v>
      </c>
      <c r="BJ11" s="2210"/>
      <c r="BK11" s="117"/>
      <c r="BL11" s="2209" t="s">
        <v>4</v>
      </c>
      <c r="BM11" s="2210"/>
      <c r="BN11" s="117"/>
      <c r="BO11" s="2209" t="s">
        <v>4</v>
      </c>
      <c r="BP11" s="2210"/>
      <c r="BQ11" s="117"/>
      <c r="BR11" s="2209" t="s">
        <v>4</v>
      </c>
      <c r="BS11" s="2210"/>
      <c r="BT11" s="117"/>
      <c r="BU11" s="2209" t="s">
        <v>4</v>
      </c>
      <c r="BV11" s="2210"/>
      <c r="BW11" s="117"/>
      <c r="BX11" s="2209" t="s">
        <v>4</v>
      </c>
      <c r="BY11" s="2210"/>
      <c r="BZ11" s="117"/>
      <c r="CA11" s="2209" t="s">
        <v>4</v>
      </c>
      <c r="CB11" s="2210"/>
      <c r="CC11" s="117"/>
      <c r="CD11" s="2209" t="s">
        <v>4</v>
      </c>
      <c r="CE11" s="2210"/>
      <c r="CF11" s="117"/>
      <c r="CG11" s="2209" t="s">
        <v>4</v>
      </c>
      <c r="CH11" s="2210"/>
      <c r="CI11" s="117"/>
      <c r="CJ11" s="2209" t="s">
        <v>4</v>
      </c>
      <c r="CK11" s="2210"/>
      <c r="CL11" s="117"/>
      <c r="CM11" s="2209" t="s">
        <v>4</v>
      </c>
      <c r="CN11" s="2210"/>
      <c r="CO11" s="117"/>
      <c r="CP11" s="2211" t="s">
        <v>4</v>
      </c>
      <c r="CQ11" s="2212"/>
      <c r="CR11" s="118"/>
      <c r="CS11" s="2209" t="s">
        <v>4</v>
      </c>
      <c r="CT11" s="2210"/>
      <c r="CU11" s="117"/>
      <c r="CV11" s="2209" t="s">
        <v>4</v>
      </c>
      <c r="CW11" s="2210"/>
      <c r="CX11" s="117"/>
      <c r="CY11" s="2209" t="s">
        <v>4</v>
      </c>
      <c r="CZ11" s="2210"/>
      <c r="DA11" s="117"/>
      <c r="DB11" s="2209" t="s">
        <v>4</v>
      </c>
      <c r="DC11" s="2210"/>
      <c r="DD11" s="117"/>
      <c r="DE11" s="2211" t="s">
        <v>4</v>
      </c>
      <c r="DF11" s="2212"/>
      <c r="DG11" s="118"/>
      <c r="DH11" s="2209" t="s">
        <v>4</v>
      </c>
      <c r="DI11" s="2210"/>
      <c r="DJ11" s="117"/>
      <c r="DK11" s="2209" t="s">
        <v>4</v>
      </c>
      <c r="DL11" s="2210"/>
      <c r="DM11" s="117"/>
      <c r="DN11" s="2211" t="s">
        <v>4</v>
      </c>
      <c r="DO11" s="2212"/>
      <c r="DP11" s="118"/>
      <c r="DQ11" s="119"/>
    </row>
    <row r="12" spans="1:121" ht="12.75">
      <c r="A12" s="696">
        <v>1</v>
      </c>
      <c r="B12" s="696">
        <v>2</v>
      </c>
      <c r="C12" s="696"/>
      <c r="D12" s="120">
        <v>3</v>
      </c>
      <c r="E12" s="121">
        <v>4</v>
      </c>
      <c r="F12" s="161">
        <v>5</v>
      </c>
      <c r="G12" s="120">
        <v>6</v>
      </c>
      <c r="H12" s="121">
        <v>7</v>
      </c>
      <c r="I12" s="161">
        <v>8</v>
      </c>
      <c r="J12" s="120">
        <v>9</v>
      </c>
      <c r="K12" s="121">
        <v>10</v>
      </c>
      <c r="L12" s="161">
        <v>11</v>
      </c>
      <c r="M12" s="120">
        <v>12</v>
      </c>
      <c r="N12" s="121">
        <v>13</v>
      </c>
      <c r="O12" s="161">
        <v>14</v>
      </c>
      <c r="P12" s="120">
        <v>15</v>
      </c>
      <c r="Q12" s="121">
        <v>16</v>
      </c>
      <c r="R12" s="161">
        <v>17</v>
      </c>
      <c r="S12" s="120">
        <v>18</v>
      </c>
      <c r="T12" s="121">
        <v>19</v>
      </c>
      <c r="U12" s="161">
        <v>20</v>
      </c>
      <c r="V12" s="120">
        <v>21</v>
      </c>
      <c r="W12" s="161">
        <v>22</v>
      </c>
      <c r="X12" s="161">
        <v>23</v>
      </c>
      <c r="Y12" s="120">
        <v>3</v>
      </c>
      <c r="Z12" s="596">
        <v>4</v>
      </c>
      <c r="AA12" s="161">
        <v>5</v>
      </c>
      <c r="AB12" s="120">
        <v>6</v>
      </c>
      <c r="AC12" s="596">
        <v>7</v>
      </c>
      <c r="AD12" s="161">
        <v>8</v>
      </c>
      <c r="AE12" s="120">
        <v>9</v>
      </c>
      <c r="AF12" s="596">
        <v>10</v>
      </c>
      <c r="AG12" s="161">
        <v>11</v>
      </c>
      <c r="AH12" s="120">
        <v>12</v>
      </c>
      <c r="AI12" s="596">
        <v>13</v>
      </c>
      <c r="AJ12" s="161">
        <v>14</v>
      </c>
      <c r="AK12" s="120">
        <v>15</v>
      </c>
      <c r="AL12" s="596">
        <v>16</v>
      </c>
      <c r="AM12" s="161">
        <v>17</v>
      </c>
      <c r="AN12" s="120">
        <v>18</v>
      </c>
      <c r="AO12" s="596">
        <v>19</v>
      </c>
      <c r="AP12" s="161">
        <v>20</v>
      </c>
      <c r="AQ12" s="120">
        <v>21</v>
      </c>
      <c r="AR12" s="596">
        <v>22</v>
      </c>
      <c r="AS12" s="161">
        <v>23</v>
      </c>
      <c r="AT12" s="120">
        <v>3</v>
      </c>
      <c r="AU12" s="596">
        <v>4</v>
      </c>
      <c r="AV12" s="161">
        <v>5</v>
      </c>
      <c r="AW12" s="120">
        <v>6</v>
      </c>
      <c r="AX12" s="596">
        <v>7</v>
      </c>
      <c r="AY12" s="161">
        <v>8</v>
      </c>
      <c r="AZ12" s="120">
        <v>9</v>
      </c>
      <c r="BA12" s="596">
        <v>10</v>
      </c>
      <c r="BB12" s="161">
        <v>11</v>
      </c>
      <c r="BC12" s="120">
        <v>12</v>
      </c>
      <c r="BD12" s="596">
        <v>13</v>
      </c>
      <c r="BE12" s="161">
        <v>14</v>
      </c>
      <c r="BF12" s="120">
        <v>15</v>
      </c>
      <c r="BG12" s="596">
        <v>16</v>
      </c>
      <c r="BH12" s="161">
        <v>17</v>
      </c>
      <c r="BI12" s="120">
        <v>18</v>
      </c>
      <c r="BJ12" s="596">
        <v>19</v>
      </c>
      <c r="BK12" s="161">
        <v>20</v>
      </c>
      <c r="BL12" s="120">
        <v>3</v>
      </c>
      <c r="BM12" s="596">
        <v>4</v>
      </c>
      <c r="BN12" s="161">
        <v>5</v>
      </c>
      <c r="BO12" s="120">
        <v>6</v>
      </c>
      <c r="BP12" s="596">
        <v>7</v>
      </c>
      <c r="BQ12" s="161">
        <v>8</v>
      </c>
      <c r="BR12" s="120">
        <v>9</v>
      </c>
      <c r="BS12" s="596">
        <v>10</v>
      </c>
      <c r="BT12" s="161">
        <v>11</v>
      </c>
      <c r="BU12" s="120">
        <v>12</v>
      </c>
      <c r="BV12" s="596">
        <v>13</v>
      </c>
      <c r="BW12" s="161">
        <v>14</v>
      </c>
      <c r="BX12" s="120">
        <v>15</v>
      </c>
      <c r="BY12" s="596">
        <v>16</v>
      </c>
      <c r="BZ12" s="161">
        <v>17</v>
      </c>
      <c r="CA12" s="120">
        <v>18</v>
      </c>
      <c r="CB12" s="596">
        <v>19</v>
      </c>
      <c r="CC12" s="161">
        <v>20</v>
      </c>
      <c r="CD12" s="120">
        <v>21</v>
      </c>
      <c r="CE12" s="596">
        <v>22</v>
      </c>
      <c r="CF12" s="161">
        <v>23</v>
      </c>
      <c r="CG12" s="120">
        <v>3</v>
      </c>
      <c r="CH12" s="596">
        <v>4</v>
      </c>
      <c r="CI12" s="161">
        <v>5</v>
      </c>
      <c r="CJ12" s="120">
        <v>6</v>
      </c>
      <c r="CK12" s="596">
        <v>7</v>
      </c>
      <c r="CL12" s="161">
        <v>8</v>
      </c>
      <c r="CM12" s="120">
        <v>9</v>
      </c>
      <c r="CN12" s="596">
        <v>10</v>
      </c>
      <c r="CO12" s="161">
        <v>11</v>
      </c>
      <c r="CP12" s="120">
        <v>12</v>
      </c>
      <c r="CQ12" s="596">
        <v>13</v>
      </c>
      <c r="CR12" s="161">
        <v>14</v>
      </c>
      <c r="CS12" s="120">
        <v>15</v>
      </c>
      <c r="CT12" s="596">
        <v>16</v>
      </c>
      <c r="CU12" s="161">
        <v>17</v>
      </c>
      <c r="CV12" s="120">
        <v>18</v>
      </c>
      <c r="CW12" s="121">
        <v>19</v>
      </c>
      <c r="CX12" s="161">
        <v>20</v>
      </c>
      <c r="CY12" s="120">
        <v>21</v>
      </c>
      <c r="CZ12" s="596">
        <v>22</v>
      </c>
      <c r="DA12" s="161">
        <v>23</v>
      </c>
      <c r="DB12" s="120">
        <v>3</v>
      </c>
      <c r="DC12" s="2130">
        <v>4</v>
      </c>
      <c r="DD12" s="161">
        <v>5</v>
      </c>
      <c r="DE12" s="120">
        <v>6</v>
      </c>
      <c r="DF12" s="1945">
        <v>7</v>
      </c>
      <c r="DG12" s="121">
        <v>8</v>
      </c>
      <c r="DH12" s="120">
        <v>9</v>
      </c>
      <c r="DI12" s="1945">
        <v>10</v>
      </c>
      <c r="DJ12" s="161">
        <v>11</v>
      </c>
      <c r="DK12" s="120">
        <v>12</v>
      </c>
      <c r="DL12" s="2130">
        <v>13</v>
      </c>
      <c r="DM12" s="161">
        <v>14</v>
      </c>
      <c r="DN12" s="120">
        <v>15</v>
      </c>
      <c r="DO12" s="1945">
        <v>16</v>
      </c>
      <c r="DP12" s="121">
        <v>17</v>
      </c>
      <c r="DQ12" s="161">
        <v>18</v>
      </c>
    </row>
    <row r="13" spans="1:121" ht="12.75" hidden="1">
      <c r="A13" s="697"/>
      <c r="B13" s="698"/>
      <c r="C13" s="697"/>
      <c r="D13" s="578"/>
      <c r="E13" s="122"/>
      <c r="F13" s="577"/>
      <c r="G13" s="578"/>
      <c r="H13" s="122"/>
      <c r="I13" s="577"/>
      <c r="J13" s="578"/>
      <c r="K13" s="122"/>
      <c r="L13" s="577"/>
      <c r="M13" s="578"/>
      <c r="N13" s="122"/>
      <c r="O13" s="587"/>
      <c r="P13" s="588"/>
      <c r="Q13" s="122"/>
      <c r="R13" s="577"/>
      <c r="S13" s="578"/>
      <c r="T13" s="122"/>
      <c r="U13" s="577"/>
      <c r="V13" s="578"/>
      <c r="W13" s="122"/>
      <c r="X13" s="577"/>
      <c r="Y13" s="578"/>
      <c r="Z13" s="597"/>
      <c r="AA13" s="577"/>
      <c r="AB13" s="578"/>
      <c r="AC13" s="597"/>
      <c r="AD13" s="577"/>
      <c r="AE13" s="578"/>
      <c r="AF13" s="597"/>
      <c r="AG13" s="577"/>
      <c r="AH13" s="578"/>
      <c r="AI13" s="597"/>
      <c r="AJ13" s="577"/>
      <c r="AK13" s="578"/>
      <c r="AL13" s="597"/>
      <c r="AM13" s="577"/>
      <c r="AN13" s="578"/>
      <c r="AO13" s="597"/>
      <c r="AP13" s="577"/>
      <c r="AQ13" s="578"/>
      <c r="AR13" s="597"/>
      <c r="AS13" s="577"/>
      <c r="AT13" s="578"/>
      <c r="AU13" s="597"/>
      <c r="AV13" s="577"/>
      <c r="AW13" s="578"/>
      <c r="AX13" s="597"/>
      <c r="AY13" s="577"/>
      <c r="AZ13" s="578"/>
      <c r="BA13" s="597"/>
      <c r="BB13" s="577"/>
      <c r="BC13" s="578"/>
      <c r="BD13" s="597"/>
      <c r="BE13" s="577"/>
      <c r="BF13" s="578"/>
      <c r="BG13" s="597"/>
      <c r="BH13" s="577"/>
      <c r="BI13" s="578"/>
      <c r="BJ13" s="597"/>
      <c r="BK13" s="577"/>
      <c r="BL13" s="578"/>
      <c r="BM13" s="597"/>
      <c r="BN13" s="577"/>
      <c r="BO13" s="578"/>
      <c r="BP13" s="597"/>
      <c r="BQ13" s="577"/>
      <c r="BR13" s="578"/>
      <c r="BS13" s="597"/>
      <c r="BT13" s="577"/>
      <c r="BU13" s="578"/>
      <c r="BV13" s="597"/>
      <c r="BW13" s="577"/>
      <c r="BX13" s="578"/>
      <c r="BY13" s="597"/>
      <c r="BZ13" s="577"/>
      <c r="CA13" s="578"/>
      <c r="CB13" s="597"/>
      <c r="CC13" s="577"/>
      <c r="CD13" s="578"/>
      <c r="CE13" s="597"/>
      <c r="CF13" s="577"/>
      <c r="CG13" s="578"/>
      <c r="CH13" s="597"/>
      <c r="CI13" s="577"/>
      <c r="CJ13" s="578"/>
      <c r="CK13" s="597"/>
      <c r="CL13" s="577"/>
      <c r="CM13" s="578"/>
      <c r="CN13" s="597"/>
      <c r="CO13" s="577"/>
      <c r="CP13" s="578"/>
      <c r="CQ13" s="597"/>
      <c r="CR13" s="577"/>
      <c r="CS13" s="578"/>
      <c r="CT13" s="597"/>
      <c r="CU13" s="577"/>
      <c r="CV13" s="597"/>
      <c r="CW13" s="597"/>
      <c r="CX13" s="597"/>
      <c r="CY13" s="578"/>
      <c r="CZ13" s="597"/>
      <c r="DA13" s="577"/>
      <c r="DB13" s="578"/>
      <c r="DC13" s="590"/>
      <c r="DD13" s="577"/>
      <c r="DE13" s="606"/>
      <c r="DF13" s="605"/>
      <c r="DG13" s="123"/>
      <c r="DH13" s="578"/>
      <c r="DI13" s="590"/>
      <c r="DJ13" s="577"/>
      <c r="DK13" s="578"/>
      <c r="DL13" s="590"/>
      <c r="DM13" s="577"/>
      <c r="DN13" s="606"/>
      <c r="DO13" s="605"/>
      <c r="DP13" s="123"/>
      <c r="DQ13" s="124"/>
    </row>
    <row r="14" spans="1:121" ht="30" customHeight="1">
      <c r="A14" s="699" t="s">
        <v>482</v>
      </c>
      <c r="B14" s="1265" t="s">
        <v>1111</v>
      </c>
      <c r="C14" s="1265"/>
      <c r="D14" s="580">
        <f aca="true" t="shared" si="0" ref="D14:AI14">SUM(D15:D17)</f>
        <v>538587</v>
      </c>
      <c r="E14" s="370">
        <f t="shared" si="0"/>
        <v>624153</v>
      </c>
      <c r="F14" s="579">
        <f t="shared" si="0"/>
        <v>535011.349</v>
      </c>
      <c r="G14" s="580">
        <f t="shared" si="0"/>
        <v>315690</v>
      </c>
      <c r="H14" s="370">
        <f t="shared" si="0"/>
        <v>273588</v>
      </c>
      <c r="I14" s="579">
        <f t="shared" si="0"/>
        <v>252553</v>
      </c>
      <c r="J14" s="580">
        <f t="shared" si="0"/>
        <v>28768</v>
      </c>
      <c r="K14" s="370">
        <f t="shared" si="0"/>
        <v>26079</v>
      </c>
      <c r="L14" s="579">
        <f t="shared" si="0"/>
        <v>23376.228</v>
      </c>
      <c r="M14" s="580">
        <f t="shared" si="0"/>
        <v>7239</v>
      </c>
      <c r="N14" s="370">
        <f t="shared" si="0"/>
        <v>20515</v>
      </c>
      <c r="O14" s="579">
        <f t="shared" si="0"/>
        <v>2078</v>
      </c>
      <c r="P14" s="580">
        <f t="shared" si="0"/>
        <v>0</v>
      </c>
      <c r="Q14" s="370">
        <f t="shared" si="0"/>
        <v>0</v>
      </c>
      <c r="R14" s="579">
        <f t="shared" si="0"/>
        <v>0</v>
      </c>
      <c r="S14" s="580">
        <f t="shared" si="0"/>
        <v>96779</v>
      </c>
      <c r="T14" s="370">
        <f t="shared" si="0"/>
        <v>94399.06000000001</v>
      </c>
      <c r="U14" s="579">
        <f t="shared" si="0"/>
        <v>85520.064</v>
      </c>
      <c r="V14" s="580">
        <f t="shared" si="0"/>
        <v>321798</v>
      </c>
      <c r="W14" s="370">
        <f t="shared" si="0"/>
        <v>291394.9</v>
      </c>
      <c r="X14" s="579">
        <f t="shared" si="0"/>
        <v>213401.121</v>
      </c>
      <c r="Y14" s="580">
        <f t="shared" si="0"/>
        <v>18786</v>
      </c>
      <c r="Z14" s="598">
        <f t="shared" si="0"/>
        <v>18975</v>
      </c>
      <c r="AA14" s="579">
        <f t="shared" si="0"/>
        <v>16033.253</v>
      </c>
      <c r="AB14" s="580">
        <f t="shared" si="0"/>
        <v>0</v>
      </c>
      <c r="AC14" s="598">
        <f t="shared" si="0"/>
        <v>0</v>
      </c>
      <c r="AD14" s="579">
        <f t="shared" si="0"/>
        <v>0</v>
      </c>
      <c r="AE14" s="580">
        <f t="shared" si="0"/>
        <v>0</v>
      </c>
      <c r="AF14" s="598">
        <f t="shared" si="0"/>
        <v>0</v>
      </c>
      <c r="AG14" s="579">
        <f t="shared" si="0"/>
        <v>0</v>
      </c>
      <c r="AH14" s="580">
        <f t="shared" si="0"/>
        <v>790621</v>
      </c>
      <c r="AI14" s="598">
        <f t="shared" si="0"/>
        <v>815805</v>
      </c>
      <c r="AJ14" s="579">
        <f aca="true" t="shared" si="1" ref="AJ14:BO14">SUM(AJ15:AJ17)</f>
        <v>746804</v>
      </c>
      <c r="AK14" s="580">
        <f t="shared" si="1"/>
        <v>0</v>
      </c>
      <c r="AL14" s="598">
        <f t="shared" si="1"/>
        <v>0</v>
      </c>
      <c r="AM14" s="579">
        <f t="shared" si="1"/>
        <v>0</v>
      </c>
      <c r="AN14" s="580">
        <f t="shared" si="1"/>
        <v>0</v>
      </c>
      <c r="AO14" s="598">
        <f t="shared" si="1"/>
        <v>62035</v>
      </c>
      <c r="AP14" s="579">
        <f t="shared" si="1"/>
        <v>61286.152</v>
      </c>
      <c r="AQ14" s="580">
        <f t="shared" si="1"/>
        <v>0</v>
      </c>
      <c r="AR14" s="598">
        <f t="shared" si="1"/>
        <v>0</v>
      </c>
      <c r="AS14" s="579">
        <f t="shared" si="1"/>
        <v>0</v>
      </c>
      <c r="AT14" s="580">
        <f t="shared" si="1"/>
        <v>0</v>
      </c>
      <c r="AU14" s="598">
        <f t="shared" si="1"/>
        <v>0</v>
      </c>
      <c r="AV14" s="579">
        <f t="shared" si="1"/>
        <v>0</v>
      </c>
      <c r="AW14" s="580">
        <f t="shared" si="1"/>
        <v>1410839</v>
      </c>
      <c r="AX14" s="598">
        <f t="shared" si="1"/>
        <v>1505754.66</v>
      </c>
      <c r="AY14" s="579">
        <f t="shared" si="1"/>
        <v>1402447</v>
      </c>
      <c r="AZ14" s="580">
        <f t="shared" si="1"/>
        <v>100000</v>
      </c>
      <c r="BA14" s="598">
        <f t="shared" si="1"/>
        <v>83300</v>
      </c>
      <c r="BB14" s="579">
        <f t="shared" si="1"/>
        <v>9265</v>
      </c>
      <c r="BC14" s="580">
        <f t="shared" si="1"/>
        <v>99011</v>
      </c>
      <c r="BD14" s="598">
        <f t="shared" si="1"/>
        <v>110063.466</v>
      </c>
      <c r="BE14" s="579">
        <f t="shared" si="1"/>
        <v>67974.241</v>
      </c>
      <c r="BF14" s="580">
        <f t="shared" si="1"/>
        <v>151525</v>
      </c>
      <c r="BG14" s="598">
        <f t="shared" si="1"/>
        <v>103200</v>
      </c>
      <c r="BH14" s="579">
        <f t="shared" si="1"/>
        <v>93015</v>
      </c>
      <c r="BI14" s="580">
        <f t="shared" si="1"/>
        <v>3879643</v>
      </c>
      <c r="BJ14" s="598">
        <f t="shared" si="1"/>
        <v>4029262.086</v>
      </c>
      <c r="BK14" s="579">
        <f t="shared" si="1"/>
        <v>3508764.4080000003</v>
      </c>
      <c r="BL14" s="580">
        <f t="shared" si="1"/>
        <v>1270</v>
      </c>
      <c r="BM14" s="598">
        <f t="shared" si="1"/>
        <v>1334</v>
      </c>
      <c r="BN14" s="579">
        <f t="shared" si="1"/>
        <v>1109.131</v>
      </c>
      <c r="BO14" s="580">
        <f t="shared" si="1"/>
        <v>104080</v>
      </c>
      <c r="BP14" s="598">
        <f aca="true" t="shared" si="2" ref="BP14:CO14">SUM(BP15:BP17)</f>
        <v>115557</v>
      </c>
      <c r="BQ14" s="579">
        <f t="shared" si="2"/>
        <v>98295</v>
      </c>
      <c r="BR14" s="580">
        <f t="shared" si="2"/>
        <v>58800</v>
      </c>
      <c r="BS14" s="598">
        <f t="shared" si="2"/>
        <v>58800</v>
      </c>
      <c r="BT14" s="579">
        <f t="shared" si="2"/>
        <v>58800</v>
      </c>
      <c r="BU14" s="580">
        <f t="shared" si="2"/>
        <v>7620</v>
      </c>
      <c r="BV14" s="598">
        <f t="shared" si="2"/>
        <v>8825</v>
      </c>
      <c r="BW14" s="579">
        <f t="shared" si="2"/>
        <v>6102.085</v>
      </c>
      <c r="BX14" s="580">
        <f t="shared" si="2"/>
        <v>0</v>
      </c>
      <c r="BY14" s="598">
        <f t="shared" si="2"/>
        <v>0</v>
      </c>
      <c r="BZ14" s="579">
        <f t="shared" si="2"/>
        <v>0</v>
      </c>
      <c r="CA14" s="580">
        <f t="shared" si="2"/>
        <v>37894</v>
      </c>
      <c r="CB14" s="598">
        <f t="shared" si="2"/>
        <v>37894</v>
      </c>
      <c r="CC14" s="579">
        <f t="shared" si="2"/>
        <v>34729.39</v>
      </c>
      <c r="CD14" s="580">
        <f t="shared" si="2"/>
        <v>190267</v>
      </c>
      <c r="CE14" s="598">
        <f t="shared" si="2"/>
        <v>207270</v>
      </c>
      <c r="CF14" s="579">
        <f t="shared" si="2"/>
        <v>198265.16999999998</v>
      </c>
      <c r="CG14" s="580">
        <f t="shared" si="2"/>
        <v>0</v>
      </c>
      <c r="CH14" s="598">
        <f t="shared" si="2"/>
        <v>0</v>
      </c>
      <c r="CI14" s="579">
        <f t="shared" si="2"/>
        <v>0</v>
      </c>
      <c r="CJ14" s="580">
        <f t="shared" si="2"/>
        <v>0</v>
      </c>
      <c r="CK14" s="598">
        <f t="shared" si="2"/>
        <v>2043</v>
      </c>
      <c r="CL14" s="579">
        <f t="shared" si="2"/>
        <v>1780.227</v>
      </c>
      <c r="CM14" s="580">
        <f t="shared" si="2"/>
        <v>399931</v>
      </c>
      <c r="CN14" s="598">
        <f t="shared" si="2"/>
        <v>431723</v>
      </c>
      <c r="CO14" s="579">
        <f t="shared" si="2"/>
        <v>399081.00299999997</v>
      </c>
      <c r="CP14" s="580">
        <f>BI14+CM14</f>
        <v>4279574</v>
      </c>
      <c r="CQ14" s="598">
        <f>BJ14+CN14</f>
        <v>4460985.086</v>
      </c>
      <c r="CR14" s="579">
        <f>BK14+CO14</f>
        <v>3907845.4110000003</v>
      </c>
      <c r="CS14" s="580">
        <f aca="true" t="shared" si="3" ref="CS14:DM14">SUM(CS15:CS17)</f>
        <v>35635</v>
      </c>
      <c r="CT14" s="598">
        <f t="shared" si="3"/>
        <v>38950</v>
      </c>
      <c r="CU14" s="579">
        <f t="shared" si="3"/>
        <v>34755</v>
      </c>
      <c r="CV14" s="580">
        <f t="shared" si="3"/>
        <v>56825</v>
      </c>
      <c r="CW14" s="598">
        <f t="shared" si="3"/>
        <v>62380</v>
      </c>
      <c r="CX14" s="579">
        <f t="shared" si="3"/>
        <v>55230</v>
      </c>
      <c r="CY14" s="580">
        <f t="shared" si="3"/>
        <v>88834</v>
      </c>
      <c r="CZ14" s="598">
        <f t="shared" si="3"/>
        <v>89316</v>
      </c>
      <c r="DA14" s="579">
        <f t="shared" si="3"/>
        <v>86601</v>
      </c>
      <c r="DB14" s="580">
        <f t="shared" si="3"/>
        <v>2141705</v>
      </c>
      <c r="DC14" s="591">
        <f t="shared" si="3"/>
        <v>2386362.093</v>
      </c>
      <c r="DD14" s="579">
        <f t="shared" si="3"/>
        <v>2021307</v>
      </c>
      <c r="DE14" s="580">
        <f>SUM(DE15:DE17)</f>
        <v>2322999</v>
      </c>
      <c r="DF14" s="594">
        <f t="shared" si="3"/>
        <v>2577008.093</v>
      </c>
      <c r="DG14" s="370">
        <f t="shared" si="3"/>
        <v>2197893</v>
      </c>
      <c r="DH14" s="580">
        <f t="shared" si="3"/>
        <v>2248165</v>
      </c>
      <c r="DI14" s="591">
        <f t="shared" si="3"/>
        <v>2664910.751</v>
      </c>
      <c r="DJ14" s="579">
        <f t="shared" si="3"/>
        <v>2533661</v>
      </c>
      <c r="DK14" s="580">
        <f t="shared" si="3"/>
        <v>1312764</v>
      </c>
      <c r="DL14" s="591">
        <f t="shared" si="3"/>
        <v>1525380.4</v>
      </c>
      <c r="DM14" s="579">
        <f t="shared" si="3"/>
        <v>1511034</v>
      </c>
      <c r="DN14" s="580">
        <f aca="true" t="shared" si="4" ref="DN14:DN25">CP14+DE14+DH14+DK14</f>
        <v>10163502</v>
      </c>
      <c r="DO14" s="594">
        <f aca="true" t="shared" si="5" ref="DO14:DO25">CQ14+DF14+DI14+DL14</f>
        <v>11228284.33</v>
      </c>
      <c r="DP14" s="370">
        <f aca="true" t="shared" si="6" ref="DP14:DP25">CR14+DG14+DJ14+DM14</f>
        <v>10150433.411</v>
      </c>
      <c r="DQ14" s="371">
        <f>DP14/DO14*100</f>
        <v>90.40057334387079</v>
      </c>
    </row>
    <row r="15" spans="1:121" ht="24.75" customHeight="1">
      <c r="A15" s="700" t="s">
        <v>908</v>
      </c>
      <c r="B15" s="1266" t="s">
        <v>952</v>
      </c>
      <c r="C15" s="1266" t="s">
        <v>888</v>
      </c>
      <c r="D15" s="582"/>
      <c r="E15" s="417"/>
      <c r="F15" s="581"/>
      <c r="G15" s="582"/>
      <c r="H15" s="417"/>
      <c r="I15" s="581"/>
      <c r="J15" s="582"/>
      <c r="K15" s="417"/>
      <c r="L15" s="581"/>
      <c r="M15" s="582">
        <v>1500</v>
      </c>
      <c r="N15" s="417">
        <v>800</v>
      </c>
      <c r="O15" s="581">
        <v>593</v>
      </c>
      <c r="P15" s="582"/>
      <c r="Q15" s="417"/>
      <c r="R15" s="581"/>
      <c r="S15" s="582"/>
      <c r="T15" s="417"/>
      <c r="U15" s="581"/>
      <c r="V15" s="582">
        <v>79014</v>
      </c>
      <c r="W15" s="417">
        <v>37211.9</v>
      </c>
      <c r="X15" s="581"/>
      <c r="Y15" s="582"/>
      <c r="Z15" s="599"/>
      <c r="AA15" s="581"/>
      <c r="AB15" s="582"/>
      <c r="AC15" s="599"/>
      <c r="AD15" s="581"/>
      <c r="AE15" s="582"/>
      <c r="AF15" s="599"/>
      <c r="AG15" s="581"/>
      <c r="AH15" s="582"/>
      <c r="AI15" s="599"/>
      <c r="AJ15" s="581"/>
      <c r="AK15" s="582"/>
      <c r="AL15" s="599"/>
      <c r="AM15" s="581"/>
      <c r="AN15" s="582"/>
      <c r="AO15" s="599"/>
      <c r="AP15" s="581"/>
      <c r="AQ15" s="582"/>
      <c r="AR15" s="599"/>
      <c r="AS15" s="581"/>
      <c r="AT15" s="582"/>
      <c r="AU15" s="599"/>
      <c r="AV15" s="581"/>
      <c r="AW15" s="582"/>
      <c r="AX15" s="599">
        <f>24671.753+0.35</f>
        <v>24672.103</v>
      </c>
      <c r="AY15" s="581">
        <v>24484</v>
      </c>
      <c r="AZ15" s="582"/>
      <c r="BA15" s="599"/>
      <c r="BB15" s="581"/>
      <c r="BC15" s="582"/>
      <c r="BD15" s="599"/>
      <c r="BE15" s="581"/>
      <c r="BF15" s="582"/>
      <c r="BG15" s="599"/>
      <c r="BH15" s="581"/>
      <c r="BI15" s="582">
        <f aca="true" t="shared" si="7" ref="BI15:BK17">D15+G15+J15+M15+P15+S15+V15+Y15+AB15+AE15+AH15+AK15+AN15+AQ15+AT15+AW15+AZ15+BC15+BF15</f>
        <v>80514</v>
      </c>
      <c r="BJ15" s="599">
        <f t="shared" si="7"/>
        <v>62684.003</v>
      </c>
      <c r="BK15" s="581">
        <f t="shared" si="7"/>
        <v>25077</v>
      </c>
      <c r="BL15" s="582"/>
      <c r="BM15" s="599"/>
      <c r="BN15" s="581"/>
      <c r="BO15" s="582"/>
      <c r="BP15" s="599"/>
      <c r="BQ15" s="581"/>
      <c r="BR15" s="582"/>
      <c r="BS15" s="599"/>
      <c r="BT15" s="581"/>
      <c r="BU15" s="582"/>
      <c r="BV15" s="599"/>
      <c r="BW15" s="581"/>
      <c r="BX15" s="582"/>
      <c r="BY15" s="599"/>
      <c r="BZ15" s="581"/>
      <c r="CA15" s="582"/>
      <c r="CB15" s="599"/>
      <c r="CC15" s="581"/>
      <c r="CD15" s="582"/>
      <c r="CE15" s="599">
        <v>3328</v>
      </c>
      <c r="CF15" s="581">
        <f>3386+45</f>
        <v>3431</v>
      </c>
      <c r="CG15" s="582"/>
      <c r="CH15" s="599"/>
      <c r="CI15" s="581"/>
      <c r="CJ15" s="582"/>
      <c r="CK15" s="599"/>
      <c r="CL15" s="581"/>
      <c r="CM15" s="582">
        <f aca="true" t="shared" si="8" ref="CM15:CO17">BL15+BO15+BR15+BU15+BX15+CA15+CD15+CG15+CJ15</f>
        <v>0</v>
      </c>
      <c r="CN15" s="599">
        <f t="shared" si="8"/>
        <v>3328</v>
      </c>
      <c r="CO15" s="581">
        <f t="shared" si="8"/>
        <v>3431</v>
      </c>
      <c r="CP15" s="602">
        <f>BI15+CM15</f>
        <v>80514</v>
      </c>
      <c r="CQ15" s="603">
        <f aca="true" t="shared" si="9" ref="CQ15:CQ30">BJ15+CN15</f>
        <v>66012.003</v>
      </c>
      <c r="CR15" s="604">
        <f aca="true" t="shared" si="10" ref="CR15:CR42">BK15+CO15</f>
        <v>28508</v>
      </c>
      <c r="CS15" s="582"/>
      <c r="CT15" s="599"/>
      <c r="CU15" s="581"/>
      <c r="CV15" s="582">
        <v>42811</v>
      </c>
      <c r="CW15" s="599">
        <v>48740</v>
      </c>
      <c r="CX15" s="581">
        <v>43792</v>
      </c>
      <c r="CY15" s="582">
        <v>72115</v>
      </c>
      <c r="CZ15" s="599">
        <v>67611</v>
      </c>
      <c r="DA15" s="581">
        <v>65212</v>
      </c>
      <c r="DB15" s="582">
        <v>1236741</v>
      </c>
      <c r="DC15" s="592">
        <v>1391547.993</v>
      </c>
      <c r="DD15" s="581">
        <v>1248438</v>
      </c>
      <c r="DE15" s="582">
        <f aca="true" t="shared" si="11" ref="DE15:DG17">CS15+CV15+CY15+DB15</f>
        <v>1351667</v>
      </c>
      <c r="DF15" s="592">
        <f t="shared" si="11"/>
        <v>1507898.993</v>
      </c>
      <c r="DG15" s="417">
        <f t="shared" si="11"/>
        <v>1357442</v>
      </c>
      <c r="DH15" s="582">
        <v>1334814</v>
      </c>
      <c r="DI15" s="592">
        <v>1508545.951</v>
      </c>
      <c r="DJ15" s="581">
        <f>'6_sz_tábla K. '!F50</f>
        <v>1474582</v>
      </c>
      <c r="DK15" s="582">
        <v>705171</v>
      </c>
      <c r="DL15" s="592">
        <v>873651.99</v>
      </c>
      <c r="DM15" s="581">
        <v>872777</v>
      </c>
      <c r="DN15" s="582">
        <f t="shared" si="4"/>
        <v>3472166</v>
      </c>
      <c r="DO15" s="418">
        <f t="shared" si="5"/>
        <v>3956108.937</v>
      </c>
      <c r="DP15" s="417">
        <f t="shared" si="6"/>
        <v>3733309</v>
      </c>
      <c r="DQ15" s="684">
        <f>DP15/DO15*100</f>
        <v>94.36820521001745</v>
      </c>
    </row>
    <row r="16" spans="1:121" ht="24.75" customHeight="1">
      <c r="A16" s="700" t="s">
        <v>909</v>
      </c>
      <c r="B16" s="1266" t="s">
        <v>396</v>
      </c>
      <c r="C16" s="1267">
        <v>53</v>
      </c>
      <c r="D16" s="582"/>
      <c r="E16" s="417"/>
      <c r="F16" s="581"/>
      <c r="G16" s="582"/>
      <c r="H16" s="417"/>
      <c r="I16" s="581"/>
      <c r="J16" s="582"/>
      <c r="K16" s="417"/>
      <c r="L16" s="581"/>
      <c r="M16" s="582">
        <v>405</v>
      </c>
      <c r="N16" s="417">
        <v>216</v>
      </c>
      <c r="O16" s="581">
        <v>144</v>
      </c>
      <c r="P16" s="582"/>
      <c r="Q16" s="417"/>
      <c r="R16" s="581"/>
      <c r="S16" s="582"/>
      <c r="T16" s="417"/>
      <c r="U16" s="581"/>
      <c r="V16" s="582">
        <v>13144</v>
      </c>
      <c r="W16" s="417">
        <v>2467</v>
      </c>
      <c r="X16" s="581"/>
      <c r="Y16" s="582"/>
      <c r="Z16" s="599"/>
      <c r="AA16" s="581"/>
      <c r="AB16" s="582"/>
      <c r="AC16" s="599"/>
      <c r="AD16" s="581"/>
      <c r="AE16" s="582"/>
      <c r="AF16" s="599"/>
      <c r="AG16" s="581"/>
      <c r="AH16" s="582"/>
      <c r="AI16" s="599"/>
      <c r="AJ16" s="581"/>
      <c r="AK16" s="582"/>
      <c r="AL16" s="599"/>
      <c r="AM16" s="581"/>
      <c r="AN16" s="582"/>
      <c r="AO16" s="599"/>
      <c r="AP16" s="581"/>
      <c r="AQ16" s="582"/>
      <c r="AR16" s="599"/>
      <c r="AS16" s="581"/>
      <c r="AT16" s="582"/>
      <c r="AU16" s="599"/>
      <c r="AV16" s="581"/>
      <c r="AW16" s="582"/>
      <c r="AX16" s="599">
        <v>5717</v>
      </c>
      <c r="AY16" s="581">
        <v>5717</v>
      </c>
      <c r="AZ16" s="582"/>
      <c r="BA16" s="599"/>
      <c r="BB16" s="581"/>
      <c r="BC16" s="582"/>
      <c r="BD16" s="599"/>
      <c r="BE16" s="581"/>
      <c r="BF16" s="582"/>
      <c r="BG16" s="599"/>
      <c r="BH16" s="581"/>
      <c r="BI16" s="582">
        <f t="shared" si="7"/>
        <v>13549</v>
      </c>
      <c r="BJ16" s="599">
        <f t="shared" si="7"/>
        <v>8400</v>
      </c>
      <c r="BK16" s="581">
        <f t="shared" si="7"/>
        <v>5861</v>
      </c>
      <c r="BL16" s="582"/>
      <c r="BM16" s="599"/>
      <c r="BN16" s="581"/>
      <c r="BO16" s="582"/>
      <c r="BP16" s="599"/>
      <c r="BQ16" s="581"/>
      <c r="BR16" s="582"/>
      <c r="BS16" s="599"/>
      <c r="BT16" s="581"/>
      <c r="BU16" s="582"/>
      <c r="BV16" s="599"/>
      <c r="BW16" s="581"/>
      <c r="BX16" s="582"/>
      <c r="BY16" s="599"/>
      <c r="BZ16" s="581"/>
      <c r="CA16" s="582"/>
      <c r="CB16" s="599"/>
      <c r="CC16" s="581"/>
      <c r="CD16" s="582"/>
      <c r="CE16" s="599">
        <v>830</v>
      </c>
      <c r="CF16" s="581">
        <f>749.87+11</f>
        <v>760.87</v>
      </c>
      <c r="CG16" s="582"/>
      <c r="CH16" s="599"/>
      <c r="CI16" s="581"/>
      <c r="CJ16" s="582"/>
      <c r="CK16" s="599"/>
      <c r="CL16" s="581"/>
      <c r="CM16" s="582">
        <f t="shared" si="8"/>
        <v>0</v>
      </c>
      <c r="CN16" s="599">
        <f t="shared" si="8"/>
        <v>830</v>
      </c>
      <c r="CO16" s="581">
        <f t="shared" si="8"/>
        <v>760.87</v>
      </c>
      <c r="CP16" s="602">
        <f aca="true" t="shared" si="12" ref="CP16:CP42">BI16+CM16</f>
        <v>13549</v>
      </c>
      <c r="CQ16" s="603">
        <f t="shared" si="9"/>
        <v>9230</v>
      </c>
      <c r="CR16" s="604">
        <f t="shared" si="10"/>
        <v>6621.87</v>
      </c>
      <c r="CS16" s="582"/>
      <c r="CT16" s="599"/>
      <c r="CU16" s="581"/>
      <c r="CV16" s="582">
        <v>11990</v>
      </c>
      <c r="CW16" s="599">
        <f>13516.461-0.461</f>
        <v>13516</v>
      </c>
      <c r="CX16" s="581">
        <v>11336</v>
      </c>
      <c r="CY16" s="582">
        <v>15769</v>
      </c>
      <c r="CZ16" s="599">
        <v>15833</v>
      </c>
      <c r="DA16" s="581">
        <v>15761</v>
      </c>
      <c r="DB16" s="582">
        <v>336154</v>
      </c>
      <c r="DC16" s="592">
        <f>364226.088-0.088</f>
        <v>364226</v>
      </c>
      <c r="DD16" s="581">
        <v>319996</v>
      </c>
      <c r="DE16" s="582">
        <f t="shared" si="11"/>
        <v>363913</v>
      </c>
      <c r="DF16" s="592">
        <f t="shared" si="11"/>
        <v>393575</v>
      </c>
      <c r="DG16" s="417">
        <f t="shared" si="11"/>
        <v>347093</v>
      </c>
      <c r="DH16" s="582">
        <v>348415</v>
      </c>
      <c r="DI16" s="592">
        <f>371089.416-0.616</f>
        <v>371088.80000000005</v>
      </c>
      <c r="DJ16" s="581">
        <f>'6_sz_tábla K. '!G50</f>
        <v>359010</v>
      </c>
      <c r="DK16" s="582">
        <v>185649</v>
      </c>
      <c r="DL16" s="592">
        <v>225240.637</v>
      </c>
      <c r="DM16" s="581">
        <v>220918</v>
      </c>
      <c r="DN16" s="582">
        <f t="shared" si="4"/>
        <v>911526</v>
      </c>
      <c r="DO16" s="418">
        <f t="shared" si="5"/>
        <v>999134.437</v>
      </c>
      <c r="DP16" s="417">
        <f t="shared" si="6"/>
        <v>933642.87</v>
      </c>
      <c r="DQ16" s="684">
        <f aca="true" t="shared" si="13" ref="DQ16:DQ27">DP16/DO16*100</f>
        <v>93.44516968140493</v>
      </c>
    </row>
    <row r="17" spans="1:121" ht="24.75" customHeight="1">
      <c r="A17" s="700" t="s">
        <v>911</v>
      </c>
      <c r="B17" s="1266" t="s">
        <v>953</v>
      </c>
      <c r="C17" s="1266" t="s">
        <v>889</v>
      </c>
      <c r="D17" s="582">
        <v>538587</v>
      </c>
      <c r="E17" s="417">
        <v>624153</v>
      </c>
      <c r="F17" s="581">
        <v>535011.349</v>
      </c>
      <c r="G17" s="582">
        <v>315690</v>
      </c>
      <c r="H17" s="417">
        <v>273588</v>
      </c>
      <c r="I17" s="581">
        <v>252553</v>
      </c>
      <c r="J17" s="582">
        <v>28768</v>
      </c>
      <c r="K17" s="417">
        <v>26079</v>
      </c>
      <c r="L17" s="581">
        <v>23376.228</v>
      </c>
      <c r="M17" s="582">
        <v>5334</v>
      </c>
      <c r="N17" s="417">
        <v>19499</v>
      </c>
      <c r="O17" s="581">
        <v>1341</v>
      </c>
      <c r="P17" s="582"/>
      <c r="Q17" s="417"/>
      <c r="R17" s="581"/>
      <c r="S17" s="582">
        <v>96779</v>
      </c>
      <c r="T17" s="417">
        <f>94398.96+0.1</f>
        <v>94399.06000000001</v>
      </c>
      <c r="U17" s="581">
        <v>85520.064</v>
      </c>
      <c r="V17" s="582">
        <v>229640</v>
      </c>
      <c r="W17" s="417">
        <v>251716</v>
      </c>
      <c r="X17" s="581">
        <v>213401.121</v>
      </c>
      <c r="Y17" s="582">
        <v>18786</v>
      </c>
      <c r="Z17" s="599">
        <v>18975</v>
      </c>
      <c r="AA17" s="581">
        <v>16033.253</v>
      </c>
      <c r="AB17" s="582"/>
      <c r="AC17" s="599"/>
      <c r="AD17" s="581"/>
      <c r="AE17" s="582"/>
      <c r="AF17" s="599"/>
      <c r="AG17" s="581"/>
      <c r="AH17" s="582">
        <v>790621</v>
      </c>
      <c r="AI17" s="599">
        <v>815805</v>
      </c>
      <c r="AJ17" s="581">
        <v>746804</v>
      </c>
      <c r="AK17" s="582"/>
      <c r="AL17" s="599"/>
      <c r="AM17" s="581"/>
      <c r="AN17" s="582"/>
      <c r="AO17" s="599">
        <v>62035</v>
      </c>
      <c r="AP17" s="581">
        <v>61286.152</v>
      </c>
      <c r="AQ17" s="582"/>
      <c r="AR17" s="599"/>
      <c r="AS17" s="581"/>
      <c r="AT17" s="582"/>
      <c r="AU17" s="599"/>
      <c r="AV17" s="581"/>
      <c r="AW17" s="582">
        <v>1410839</v>
      </c>
      <c r="AX17" s="599">
        <v>1475365.557</v>
      </c>
      <c r="AY17" s="581">
        <v>1372246</v>
      </c>
      <c r="AZ17" s="582">
        <v>100000</v>
      </c>
      <c r="BA17" s="599">
        <v>83300</v>
      </c>
      <c r="BB17" s="581">
        <v>9265</v>
      </c>
      <c r="BC17" s="582">
        <v>99011</v>
      </c>
      <c r="BD17" s="599">
        <v>110063.466</v>
      </c>
      <c r="BE17" s="581">
        <v>67974.241</v>
      </c>
      <c r="BF17" s="582">
        <v>151525</v>
      </c>
      <c r="BG17" s="599">
        <v>103200</v>
      </c>
      <c r="BH17" s="581">
        <v>93015</v>
      </c>
      <c r="BI17" s="582">
        <f t="shared" si="7"/>
        <v>3785580</v>
      </c>
      <c r="BJ17" s="599">
        <f t="shared" si="7"/>
        <v>3958178.083</v>
      </c>
      <c r="BK17" s="581">
        <f t="shared" si="7"/>
        <v>3477826.4080000003</v>
      </c>
      <c r="BL17" s="582">
        <v>1270</v>
      </c>
      <c r="BM17" s="599">
        <v>1334</v>
      </c>
      <c r="BN17" s="581">
        <v>1109.131</v>
      </c>
      <c r="BO17" s="582">
        <v>104080</v>
      </c>
      <c r="BP17" s="599">
        <v>115557</v>
      </c>
      <c r="BQ17" s="581">
        <v>98295</v>
      </c>
      <c r="BR17" s="582">
        <v>58800</v>
      </c>
      <c r="BS17" s="599">
        <v>58800</v>
      </c>
      <c r="BT17" s="581">
        <v>58800</v>
      </c>
      <c r="BU17" s="582">
        <v>7620</v>
      </c>
      <c r="BV17" s="599">
        <v>8825</v>
      </c>
      <c r="BW17" s="581">
        <v>6102.085</v>
      </c>
      <c r="BX17" s="582"/>
      <c r="BY17" s="599"/>
      <c r="BZ17" s="581"/>
      <c r="CA17" s="582">
        <v>37894</v>
      </c>
      <c r="CB17" s="599">
        <v>37894</v>
      </c>
      <c r="CC17" s="581">
        <v>34729.39</v>
      </c>
      <c r="CD17" s="582">
        <v>190267</v>
      </c>
      <c r="CE17" s="599">
        <v>203112</v>
      </c>
      <c r="CF17" s="581">
        <f>194073.3</f>
        <v>194073.3</v>
      </c>
      <c r="CG17" s="582"/>
      <c r="CH17" s="599"/>
      <c r="CI17" s="581"/>
      <c r="CJ17" s="582"/>
      <c r="CK17" s="599">
        <v>2043</v>
      </c>
      <c r="CL17" s="581">
        <v>1780.227</v>
      </c>
      <c r="CM17" s="582">
        <f t="shared" si="8"/>
        <v>399931</v>
      </c>
      <c r="CN17" s="599">
        <f t="shared" si="8"/>
        <v>427565</v>
      </c>
      <c r="CO17" s="581">
        <f t="shared" si="8"/>
        <v>394889.133</v>
      </c>
      <c r="CP17" s="602">
        <f t="shared" si="12"/>
        <v>4185511</v>
      </c>
      <c r="CQ17" s="603">
        <f t="shared" si="9"/>
        <v>4385743.083000001</v>
      </c>
      <c r="CR17" s="604">
        <f t="shared" si="10"/>
        <v>3872715.541</v>
      </c>
      <c r="CS17" s="582">
        <v>35635</v>
      </c>
      <c r="CT17" s="599">
        <v>38950</v>
      </c>
      <c r="CU17" s="581">
        <v>34755</v>
      </c>
      <c r="CV17" s="582">
        <v>2024</v>
      </c>
      <c r="CW17" s="599">
        <v>124</v>
      </c>
      <c r="CX17" s="581">
        <v>102</v>
      </c>
      <c r="CY17" s="582">
        <v>950</v>
      </c>
      <c r="CZ17" s="599">
        <v>5872</v>
      </c>
      <c r="DA17" s="581">
        <v>5628</v>
      </c>
      <c r="DB17" s="582">
        <v>568810</v>
      </c>
      <c r="DC17" s="599">
        <f>630587.818+0.282</f>
        <v>630588.1</v>
      </c>
      <c r="DD17" s="581">
        <v>452873</v>
      </c>
      <c r="DE17" s="582">
        <f t="shared" si="11"/>
        <v>607419</v>
      </c>
      <c r="DF17" s="592">
        <f>CT17+CW17+CZ17+DC17</f>
        <v>675534.1</v>
      </c>
      <c r="DG17" s="417">
        <f t="shared" si="11"/>
        <v>493358</v>
      </c>
      <c r="DH17" s="582">
        <v>564936</v>
      </c>
      <c r="DI17" s="592">
        <f>785275.9+0.1</f>
        <v>785276</v>
      </c>
      <c r="DJ17" s="581">
        <f>'6_sz_tábla K. '!H50</f>
        <v>700069</v>
      </c>
      <c r="DK17" s="582">
        <v>421944</v>
      </c>
      <c r="DL17" s="592">
        <v>426487.773</v>
      </c>
      <c r="DM17" s="581">
        <v>417339</v>
      </c>
      <c r="DN17" s="582">
        <f t="shared" si="4"/>
        <v>5779810</v>
      </c>
      <c r="DO17" s="418">
        <f t="shared" si="5"/>
        <v>6273040.956</v>
      </c>
      <c r="DP17" s="417">
        <f t="shared" si="6"/>
        <v>5483481.541</v>
      </c>
      <c r="DQ17" s="684">
        <f t="shared" si="13"/>
        <v>87.41345034189825</v>
      </c>
    </row>
    <row r="18" spans="1:121" s="126" customFormat="1" ht="30" customHeight="1">
      <c r="A18" s="699" t="s">
        <v>155</v>
      </c>
      <c r="B18" s="1268" t="s">
        <v>52</v>
      </c>
      <c r="C18" s="1268"/>
      <c r="D18" s="580">
        <f>SUM(D19:D20)</f>
        <v>0</v>
      </c>
      <c r="E18" s="370">
        <f aca="true" t="shared" si="14" ref="E18:BM18">SUM(E19:E20)</f>
        <v>0</v>
      </c>
      <c r="F18" s="579">
        <f t="shared" si="14"/>
        <v>0</v>
      </c>
      <c r="G18" s="580">
        <f t="shared" si="14"/>
        <v>0</v>
      </c>
      <c r="H18" s="370">
        <f t="shared" si="14"/>
        <v>0</v>
      </c>
      <c r="I18" s="579">
        <f t="shared" si="14"/>
        <v>0</v>
      </c>
      <c r="J18" s="580">
        <f t="shared" si="14"/>
        <v>0</v>
      </c>
      <c r="K18" s="370">
        <f t="shared" si="14"/>
        <v>0</v>
      </c>
      <c r="L18" s="579">
        <f t="shared" si="14"/>
        <v>0</v>
      </c>
      <c r="M18" s="580">
        <f t="shared" si="14"/>
        <v>0</v>
      </c>
      <c r="N18" s="370">
        <f t="shared" si="14"/>
        <v>0</v>
      </c>
      <c r="O18" s="579">
        <f t="shared" si="14"/>
        <v>0</v>
      </c>
      <c r="P18" s="580">
        <f t="shared" si="14"/>
        <v>0</v>
      </c>
      <c r="Q18" s="370">
        <f t="shared" si="14"/>
        <v>0</v>
      </c>
      <c r="R18" s="579">
        <f t="shared" si="14"/>
        <v>0</v>
      </c>
      <c r="S18" s="580">
        <f t="shared" si="14"/>
        <v>0</v>
      </c>
      <c r="T18" s="370">
        <f t="shared" si="14"/>
        <v>0</v>
      </c>
      <c r="U18" s="579">
        <f t="shared" si="14"/>
        <v>0</v>
      </c>
      <c r="V18" s="580">
        <f t="shared" si="14"/>
        <v>0</v>
      </c>
      <c r="W18" s="370">
        <f t="shared" si="14"/>
        <v>0</v>
      </c>
      <c r="X18" s="579">
        <f t="shared" si="14"/>
        <v>0</v>
      </c>
      <c r="Y18" s="580">
        <f t="shared" si="14"/>
        <v>0</v>
      </c>
      <c r="Z18" s="598">
        <f t="shared" si="14"/>
        <v>0</v>
      </c>
      <c r="AA18" s="579">
        <f t="shared" si="14"/>
        <v>0</v>
      </c>
      <c r="AB18" s="580">
        <f t="shared" si="14"/>
        <v>0</v>
      </c>
      <c r="AC18" s="598">
        <f t="shared" si="14"/>
        <v>0</v>
      </c>
      <c r="AD18" s="579">
        <f t="shared" si="14"/>
        <v>0</v>
      </c>
      <c r="AE18" s="580">
        <f t="shared" si="14"/>
        <v>0</v>
      </c>
      <c r="AF18" s="598">
        <f t="shared" si="14"/>
        <v>0</v>
      </c>
      <c r="AG18" s="579">
        <f t="shared" si="14"/>
        <v>0</v>
      </c>
      <c r="AH18" s="580">
        <f t="shared" si="14"/>
        <v>25524</v>
      </c>
      <c r="AI18" s="598">
        <f t="shared" si="14"/>
        <v>22683</v>
      </c>
      <c r="AJ18" s="579">
        <f t="shared" si="14"/>
        <v>949.5889999999999</v>
      </c>
      <c r="AK18" s="580">
        <f t="shared" si="14"/>
        <v>0</v>
      </c>
      <c r="AL18" s="598">
        <f t="shared" si="14"/>
        <v>0</v>
      </c>
      <c r="AM18" s="579">
        <f t="shared" si="14"/>
        <v>0</v>
      </c>
      <c r="AN18" s="580">
        <f t="shared" si="14"/>
        <v>0</v>
      </c>
      <c r="AO18" s="598">
        <f t="shared" si="14"/>
        <v>3500</v>
      </c>
      <c r="AP18" s="579">
        <f t="shared" si="14"/>
        <v>3500</v>
      </c>
      <c r="AQ18" s="580">
        <f t="shared" si="14"/>
        <v>13000</v>
      </c>
      <c r="AR18" s="598">
        <f t="shared" si="14"/>
        <v>15060</v>
      </c>
      <c r="AS18" s="579">
        <f t="shared" si="14"/>
        <v>14139</v>
      </c>
      <c r="AT18" s="580">
        <f t="shared" si="14"/>
        <v>12000</v>
      </c>
      <c r="AU18" s="598">
        <f t="shared" si="14"/>
        <v>12900</v>
      </c>
      <c r="AV18" s="579">
        <f t="shared" si="14"/>
        <v>12900</v>
      </c>
      <c r="AW18" s="580">
        <f t="shared" si="14"/>
        <v>0</v>
      </c>
      <c r="AX18" s="598">
        <f t="shared" si="14"/>
        <v>0</v>
      </c>
      <c r="AY18" s="579">
        <f t="shared" si="14"/>
        <v>0</v>
      </c>
      <c r="AZ18" s="580">
        <f t="shared" si="14"/>
        <v>0</v>
      </c>
      <c r="BA18" s="598">
        <f t="shared" si="14"/>
        <v>0</v>
      </c>
      <c r="BB18" s="579">
        <f t="shared" si="14"/>
        <v>0</v>
      </c>
      <c r="BC18" s="580">
        <f t="shared" si="14"/>
        <v>0</v>
      </c>
      <c r="BD18" s="598">
        <f>SUM(BD19:BD20)</f>
        <v>385927</v>
      </c>
      <c r="BE18" s="579">
        <f t="shared" si="14"/>
        <v>395485.8</v>
      </c>
      <c r="BF18" s="580">
        <f t="shared" si="14"/>
        <v>0</v>
      </c>
      <c r="BG18" s="598">
        <f t="shared" si="14"/>
        <v>0</v>
      </c>
      <c r="BH18" s="579">
        <f t="shared" si="14"/>
        <v>0</v>
      </c>
      <c r="BI18" s="580">
        <f t="shared" si="14"/>
        <v>50524</v>
      </c>
      <c r="BJ18" s="598">
        <f t="shared" si="14"/>
        <v>440070</v>
      </c>
      <c r="BK18" s="579">
        <f t="shared" si="14"/>
        <v>426974.389</v>
      </c>
      <c r="BL18" s="580">
        <f t="shared" si="14"/>
        <v>0</v>
      </c>
      <c r="BM18" s="598">
        <f t="shared" si="14"/>
        <v>0</v>
      </c>
      <c r="BN18" s="579">
        <f aca="true" t="shared" si="15" ref="BN18:DG18">SUM(BN19:BN20)</f>
        <v>0</v>
      </c>
      <c r="BO18" s="580">
        <f t="shared" si="15"/>
        <v>0</v>
      </c>
      <c r="BP18" s="598">
        <f t="shared" si="15"/>
        <v>0</v>
      </c>
      <c r="BQ18" s="579">
        <f t="shared" si="15"/>
        <v>0</v>
      </c>
      <c r="BR18" s="580">
        <f t="shared" si="15"/>
        <v>0</v>
      </c>
      <c r="BS18" s="598">
        <f t="shared" si="15"/>
        <v>0</v>
      </c>
      <c r="BT18" s="579">
        <f t="shared" si="15"/>
        <v>0</v>
      </c>
      <c r="BU18" s="580">
        <f t="shared" si="15"/>
        <v>0</v>
      </c>
      <c r="BV18" s="598">
        <f t="shared" si="15"/>
        <v>0</v>
      </c>
      <c r="BW18" s="579">
        <f t="shared" si="15"/>
        <v>0</v>
      </c>
      <c r="BX18" s="580">
        <f t="shared" si="15"/>
        <v>0</v>
      </c>
      <c r="BY18" s="598">
        <f t="shared" si="15"/>
        <v>0</v>
      </c>
      <c r="BZ18" s="579">
        <f t="shared" si="15"/>
        <v>0</v>
      </c>
      <c r="CA18" s="580">
        <f t="shared" si="15"/>
        <v>0</v>
      </c>
      <c r="CB18" s="598">
        <f t="shared" si="15"/>
        <v>0</v>
      </c>
      <c r="CC18" s="579">
        <f t="shared" si="15"/>
        <v>0</v>
      </c>
      <c r="CD18" s="580">
        <f t="shared" si="15"/>
        <v>0</v>
      </c>
      <c r="CE18" s="598">
        <f>SUM(CE19:CE20)</f>
        <v>1500</v>
      </c>
      <c r="CF18" s="579">
        <f t="shared" si="15"/>
        <v>1500</v>
      </c>
      <c r="CG18" s="580">
        <f t="shared" si="15"/>
        <v>0</v>
      </c>
      <c r="CH18" s="598">
        <f t="shared" si="15"/>
        <v>0</v>
      </c>
      <c r="CI18" s="579">
        <f t="shared" si="15"/>
        <v>0</v>
      </c>
      <c r="CJ18" s="580">
        <f t="shared" si="15"/>
        <v>0</v>
      </c>
      <c r="CK18" s="598">
        <f t="shared" si="15"/>
        <v>14538</v>
      </c>
      <c r="CL18" s="579">
        <f t="shared" si="15"/>
        <v>14538</v>
      </c>
      <c r="CM18" s="580">
        <f t="shared" si="15"/>
        <v>0</v>
      </c>
      <c r="CN18" s="598">
        <f t="shared" si="15"/>
        <v>16038</v>
      </c>
      <c r="CO18" s="579">
        <f t="shared" si="15"/>
        <v>16038</v>
      </c>
      <c r="CP18" s="580">
        <f t="shared" si="12"/>
        <v>50524</v>
      </c>
      <c r="CQ18" s="598">
        <f t="shared" si="9"/>
        <v>456108</v>
      </c>
      <c r="CR18" s="579">
        <f t="shared" si="10"/>
        <v>443012.389</v>
      </c>
      <c r="CS18" s="580">
        <f t="shared" si="15"/>
        <v>0</v>
      </c>
      <c r="CT18" s="598">
        <f t="shared" si="15"/>
        <v>0</v>
      </c>
      <c r="CU18" s="579">
        <f t="shared" si="15"/>
        <v>0</v>
      </c>
      <c r="CV18" s="580">
        <f>SUM(CV19:CV20)</f>
        <v>0</v>
      </c>
      <c r="CW18" s="598">
        <f>SUM(CW19:CW20)</f>
        <v>0</v>
      </c>
      <c r="CX18" s="579">
        <f>SUM(CX19:CX20)</f>
        <v>0</v>
      </c>
      <c r="CY18" s="580">
        <f t="shared" si="15"/>
        <v>0</v>
      </c>
      <c r="CZ18" s="598">
        <f t="shared" si="15"/>
        <v>0</v>
      </c>
      <c r="DA18" s="579">
        <f t="shared" si="15"/>
        <v>0</v>
      </c>
      <c r="DB18" s="580">
        <f t="shared" si="15"/>
        <v>0</v>
      </c>
      <c r="DC18" s="591">
        <f t="shared" si="15"/>
        <v>148690</v>
      </c>
      <c r="DD18" s="579">
        <f t="shared" si="15"/>
        <v>148690</v>
      </c>
      <c r="DE18" s="580">
        <f>SUM(DE19:DE20)</f>
        <v>0</v>
      </c>
      <c r="DF18" s="594">
        <f t="shared" si="15"/>
        <v>148690</v>
      </c>
      <c r="DG18" s="370">
        <f t="shared" si="15"/>
        <v>148690</v>
      </c>
      <c r="DH18" s="580">
        <f aca="true" t="shared" si="16" ref="DH18:DM18">SUM(DH19:DH20)</f>
        <v>0</v>
      </c>
      <c r="DI18" s="591">
        <f t="shared" si="16"/>
        <v>0</v>
      </c>
      <c r="DJ18" s="579">
        <f t="shared" si="16"/>
        <v>0</v>
      </c>
      <c r="DK18" s="580">
        <f t="shared" si="16"/>
        <v>0</v>
      </c>
      <c r="DL18" s="591">
        <f t="shared" si="16"/>
        <v>0</v>
      </c>
      <c r="DM18" s="579">
        <f t="shared" si="16"/>
        <v>0</v>
      </c>
      <c r="DN18" s="580">
        <f t="shared" si="4"/>
        <v>50524</v>
      </c>
      <c r="DO18" s="594">
        <f t="shared" si="5"/>
        <v>604798</v>
      </c>
      <c r="DP18" s="370">
        <f t="shared" si="6"/>
        <v>591702.389</v>
      </c>
      <c r="DQ18" s="371">
        <f t="shared" si="13"/>
        <v>97.83471324309934</v>
      </c>
    </row>
    <row r="19" spans="1:121" ht="24.75" customHeight="1">
      <c r="A19" s="701" t="s">
        <v>53</v>
      </c>
      <c r="B19" s="1269" t="s">
        <v>954</v>
      </c>
      <c r="C19" s="1270">
        <v>3731</v>
      </c>
      <c r="D19" s="582"/>
      <c r="E19" s="417"/>
      <c r="F19" s="581"/>
      <c r="G19" s="582"/>
      <c r="H19" s="417"/>
      <c r="I19" s="581"/>
      <c r="J19" s="582"/>
      <c r="K19" s="417"/>
      <c r="L19" s="581"/>
      <c r="M19" s="582"/>
      <c r="N19" s="417"/>
      <c r="O19" s="581"/>
      <c r="P19" s="582"/>
      <c r="Q19" s="417"/>
      <c r="R19" s="581"/>
      <c r="S19" s="582"/>
      <c r="T19" s="417"/>
      <c r="U19" s="581"/>
      <c r="V19" s="582"/>
      <c r="W19" s="417"/>
      <c r="X19" s="581"/>
      <c r="Y19" s="582"/>
      <c r="Z19" s="599"/>
      <c r="AA19" s="581"/>
      <c r="AB19" s="582"/>
      <c r="AC19" s="599"/>
      <c r="AD19" s="581"/>
      <c r="AE19" s="582"/>
      <c r="AF19" s="599"/>
      <c r="AG19" s="581"/>
      <c r="AH19" s="582"/>
      <c r="AI19" s="599"/>
      <c r="AJ19" s="581"/>
      <c r="AK19" s="582"/>
      <c r="AL19" s="599"/>
      <c r="AM19" s="581"/>
      <c r="AN19" s="582"/>
      <c r="AO19" s="599">
        <v>3500</v>
      </c>
      <c r="AP19" s="581">
        <v>3500</v>
      </c>
      <c r="AQ19" s="582">
        <v>13000</v>
      </c>
      <c r="AR19" s="599">
        <v>15060</v>
      </c>
      <c r="AS19" s="581">
        <v>14139</v>
      </c>
      <c r="AT19" s="582">
        <v>12000</v>
      </c>
      <c r="AU19" s="599">
        <v>12900</v>
      </c>
      <c r="AV19" s="581">
        <v>12900</v>
      </c>
      <c r="AW19" s="582"/>
      <c r="AX19" s="599"/>
      <c r="AY19" s="581"/>
      <c r="AZ19" s="582"/>
      <c r="BA19" s="599"/>
      <c r="BB19" s="581"/>
      <c r="BC19" s="582"/>
      <c r="BD19" s="599">
        <v>327091</v>
      </c>
      <c r="BE19" s="581">
        <v>338122</v>
      </c>
      <c r="BF19" s="582"/>
      <c r="BG19" s="599"/>
      <c r="BH19" s="581"/>
      <c r="BI19" s="582">
        <f aca="true" t="shared" si="17" ref="BI19:BK20">D19+G19+J19+M19+P19+S19+V19+Y19+AB19+AE19+AH19+AK19+AN19+AQ19+AT19+AW19+AZ19+BC19+BF19</f>
        <v>25000</v>
      </c>
      <c r="BJ19" s="599">
        <f t="shared" si="17"/>
        <v>358551</v>
      </c>
      <c r="BK19" s="581">
        <f t="shared" si="17"/>
        <v>368661</v>
      </c>
      <c r="BL19" s="582"/>
      <c r="BM19" s="599"/>
      <c r="BN19" s="581"/>
      <c r="BO19" s="582"/>
      <c r="BP19" s="599"/>
      <c r="BQ19" s="581"/>
      <c r="BR19" s="582"/>
      <c r="BS19" s="599"/>
      <c r="BT19" s="581"/>
      <c r="BU19" s="582"/>
      <c r="BV19" s="599"/>
      <c r="BW19" s="581"/>
      <c r="BX19" s="582"/>
      <c r="BY19" s="599"/>
      <c r="BZ19" s="581"/>
      <c r="CA19" s="582"/>
      <c r="CB19" s="599"/>
      <c r="CC19" s="581"/>
      <c r="CD19" s="582"/>
      <c r="CE19" s="599">
        <v>1000</v>
      </c>
      <c r="CF19" s="581">
        <v>1000</v>
      </c>
      <c r="CG19" s="582"/>
      <c r="CH19" s="599"/>
      <c r="CI19" s="581"/>
      <c r="CJ19" s="582"/>
      <c r="CK19" s="599">
        <v>14538</v>
      </c>
      <c r="CL19" s="581">
        <v>14538</v>
      </c>
      <c r="CM19" s="582">
        <f aca="true" t="shared" si="18" ref="CM19:CO20">BL19+BO19+BR19+BU19+BX19+CA19+CD19+CG19+CJ19</f>
        <v>0</v>
      </c>
      <c r="CN19" s="599">
        <f t="shared" si="18"/>
        <v>15538</v>
      </c>
      <c r="CO19" s="581">
        <f t="shared" si="18"/>
        <v>15538</v>
      </c>
      <c r="CP19" s="602">
        <f t="shared" si="12"/>
        <v>25000</v>
      </c>
      <c r="CQ19" s="603">
        <f t="shared" si="9"/>
        <v>374089</v>
      </c>
      <c r="CR19" s="604">
        <f t="shared" si="10"/>
        <v>384199</v>
      </c>
      <c r="CS19" s="582"/>
      <c r="CT19" s="599"/>
      <c r="CU19" s="581"/>
      <c r="CV19" s="582"/>
      <c r="CW19" s="599"/>
      <c r="CX19" s="581"/>
      <c r="CY19" s="582"/>
      <c r="CZ19" s="599"/>
      <c r="DA19" s="581"/>
      <c r="DB19" s="582"/>
      <c r="DC19" s="592">
        <v>148690</v>
      </c>
      <c r="DD19" s="581">
        <v>148690</v>
      </c>
      <c r="DE19" s="582">
        <f aca="true" t="shared" si="19" ref="DE19:DG20">CS19+CV19+CY19+DB19</f>
        <v>0</v>
      </c>
      <c r="DF19" s="418">
        <f t="shared" si="19"/>
        <v>148690</v>
      </c>
      <c r="DG19" s="417">
        <f t="shared" si="19"/>
        <v>148690</v>
      </c>
      <c r="DH19" s="582"/>
      <c r="DI19" s="592"/>
      <c r="DJ19" s="581"/>
      <c r="DK19" s="582"/>
      <c r="DL19" s="592"/>
      <c r="DM19" s="581"/>
      <c r="DN19" s="582">
        <f t="shared" si="4"/>
        <v>25000</v>
      </c>
      <c r="DO19" s="418">
        <f t="shared" si="5"/>
        <v>522779</v>
      </c>
      <c r="DP19" s="417">
        <f t="shared" si="6"/>
        <v>532889</v>
      </c>
      <c r="DQ19" s="684">
        <f t="shared" si="13"/>
        <v>101.93389558494124</v>
      </c>
    </row>
    <row r="20" spans="1:121" ht="24.75" customHeight="1">
      <c r="A20" s="701" t="s">
        <v>54</v>
      </c>
      <c r="B20" s="1269" t="s">
        <v>955</v>
      </c>
      <c r="C20" s="1270">
        <v>3741</v>
      </c>
      <c r="D20" s="582"/>
      <c r="E20" s="417"/>
      <c r="F20" s="581"/>
      <c r="G20" s="582"/>
      <c r="H20" s="417"/>
      <c r="I20" s="581"/>
      <c r="J20" s="582"/>
      <c r="K20" s="417"/>
      <c r="L20" s="581"/>
      <c r="M20" s="582"/>
      <c r="N20" s="417"/>
      <c r="O20" s="581"/>
      <c r="P20" s="582"/>
      <c r="Q20" s="417"/>
      <c r="R20" s="581"/>
      <c r="S20" s="582"/>
      <c r="T20" s="417"/>
      <c r="U20" s="581"/>
      <c r="V20" s="582"/>
      <c r="W20" s="417"/>
      <c r="X20" s="581"/>
      <c r="Y20" s="582"/>
      <c r="Z20" s="599"/>
      <c r="AA20" s="581"/>
      <c r="AB20" s="582"/>
      <c r="AC20" s="599"/>
      <c r="AD20" s="581"/>
      <c r="AE20" s="582"/>
      <c r="AF20" s="599"/>
      <c r="AG20" s="581"/>
      <c r="AH20" s="582">
        <v>25524</v>
      </c>
      <c r="AI20" s="599">
        <v>22683</v>
      </c>
      <c r="AJ20" s="581">
        <v>949.5889999999999</v>
      </c>
      <c r="AK20" s="582"/>
      <c r="AL20" s="599"/>
      <c r="AM20" s="581"/>
      <c r="AN20" s="582"/>
      <c r="AO20" s="599"/>
      <c r="AP20" s="581"/>
      <c r="AQ20" s="582"/>
      <c r="AR20" s="599"/>
      <c r="AS20" s="581"/>
      <c r="AT20" s="582"/>
      <c r="AU20" s="599"/>
      <c r="AV20" s="581"/>
      <c r="AW20" s="582"/>
      <c r="AX20" s="599"/>
      <c r="AY20" s="581"/>
      <c r="AZ20" s="582"/>
      <c r="BA20" s="599"/>
      <c r="BB20" s="581"/>
      <c r="BC20" s="582"/>
      <c r="BD20" s="599">
        <v>58836</v>
      </c>
      <c r="BE20" s="581">
        <v>57363.8</v>
      </c>
      <c r="BF20" s="582"/>
      <c r="BG20" s="599"/>
      <c r="BH20" s="581"/>
      <c r="BI20" s="582">
        <f t="shared" si="17"/>
        <v>25524</v>
      </c>
      <c r="BJ20" s="599">
        <f t="shared" si="17"/>
        <v>81519</v>
      </c>
      <c r="BK20" s="581">
        <f t="shared" si="17"/>
        <v>58313.389</v>
      </c>
      <c r="BL20" s="582"/>
      <c r="BM20" s="599"/>
      <c r="BN20" s="581"/>
      <c r="BO20" s="582"/>
      <c r="BP20" s="599"/>
      <c r="BQ20" s="581"/>
      <c r="BR20" s="582"/>
      <c r="BS20" s="599"/>
      <c r="BT20" s="581"/>
      <c r="BU20" s="582"/>
      <c r="BV20" s="599"/>
      <c r="BW20" s="581"/>
      <c r="BX20" s="582"/>
      <c r="BY20" s="599"/>
      <c r="BZ20" s="581"/>
      <c r="CA20" s="582"/>
      <c r="CB20" s="599"/>
      <c r="CC20" s="581"/>
      <c r="CD20" s="582"/>
      <c r="CE20" s="599">
        <v>500</v>
      </c>
      <c r="CF20" s="581">
        <v>500</v>
      </c>
      <c r="CG20" s="582"/>
      <c r="CH20" s="599"/>
      <c r="CI20" s="581"/>
      <c r="CJ20" s="582"/>
      <c r="CK20" s="599"/>
      <c r="CL20" s="581"/>
      <c r="CM20" s="582">
        <f t="shared" si="18"/>
        <v>0</v>
      </c>
      <c r="CN20" s="599">
        <f t="shared" si="18"/>
        <v>500</v>
      </c>
      <c r="CO20" s="581">
        <f t="shared" si="18"/>
        <v>500</v>
      </c>
      <c r="CP20" s="602">
        <f t="shared" si="12"/>
        <v>25524</v>
      </c>
      <c r="CQ20" s="603">
        <f t="shared" si="9"/>
        <v>82019</v>
      </c>
      <c r="CR20" s="604">
        <f t="shared" si="10"/>
        <v>58813.389</v>
      </c>
      <c r="CS20" s="582"/>
      <c r="CT20" s="599"/>
      <c r="CU20" s="581"/>
      <c r="CV20" s="582"/>
      <c r="CW20" s="599"/>
      <c r="CX20" s="581"/>
      <c r="CY20" s="582"/>
      <c r="CZ20" s="599"/>
      <c r="DA20" s="581"/>
      <c r="DB20" s="582"/>
      <c r="DC20" s="592"/>
      <c r="DD20" s="581"/>
      <c r="DE20" s="582">
        <f t="shared" si="19"/>
        <v>0</v>
      </c>
      <c r="DF20" s="418">
        <f t="shared" si="19"/>
        <v>0</v>
      </c>
      <c r="DG20" s="417">
        <f t="shared" si="19"/>
        <v>0</v>
      </c>
      <c r="DH20" s="582"/>
      <c r="DI20" s="592"/>
      <c r="DJ20" s="581"/>
      <c r="DK20" s="582"/>
      <c r="DL20" s="592"/>
      <c r="DM20" s="581"/>
      <c r="DN20" s="582">
        <f t="shared" si="4"/>
        <v>25524</v>
      </c>
      <c r="DO20" s="418">
        <f t="shared" si="5"/>
        <v>82019</v>
      </c>
      <c r="DP20" s="417">
        <f t="shared" si="6"/>
        <v>58813.389</v>
      </c>
      <c r="DQ20" s="684">
        <f t="shared" si="13"/>
        <v>71.70703007839647</v>
      </c>
    </row>
    <row r="21" spans="1:121" ht="30" customHeight="1">
      <c r="A21" s="702" t="s">
        <v>156</v>
      </c>
      <c r="B21" s="1271" t="s">
        <v>55</v>
      </c>
      <c r="C21" s="1271"/>
      <c r="D21" s="580">
        <f>SUM(D22:D23)</f>
        <v>3000</v>
      </c>
      <c r="E21" s="370">
        <f aca="true" t="shared" si="20" ref="E21:BM21">SUM(E22:E23)</f>
        <v>6000</v>
      </c>
      <c r="F21" s="579">
        <f t="shared" si="20"/>
        <v>3260</v>
      </c>
      <c r="G21" s="580">
        <f t="shared" si="20"/>
        <v>0</v>
      </c>
      <c r="H21" s="370">
        <f t="shared" si="20"/>
        <v>0</v>
      </c>
      <c r="I21" s="579">
        <f t="shared" si="20"/>
        <v>0</v>
      </c>
      <c r="J21" s="580">
        <f t="shared" si="20"/>
        <v>0</v>
      </c>
      <c r="K21" s="370">
        <f t="shared" si="20"/>
        <v>0</v>
      </c>
      <c r="L21" s="579">
        <f t="shared" si="20"/>
        <v>0</v>
      </c>
      <c r="M21" s="580">
        <f t="shared" si="20"/>
        <v>0</v>
      </c>
      <c r="N21" s="370">
        <f t="shared" si="20"/>
        <v>0</v>
      </c>
      <c r="O21" s="579">
        <f t="shared" si="20"/>
        <v>0</v>
      </c>
      <c r="P21" s="580">
        <f t="shared" si="20"/>
        <v>0</v>
      </c>
      <c r="Q21" s="370">
        <f t="shared" si="20"/>
        <v>0</v>
      </c>
      <c r="R21" s="579">
        <f t="shared" si="20"/>
        <v>0</v>
      </c>
      <c r="S21" s="580">
        <f t="shared" si="20"/>
        <v>0</v>
      </c>
      <c r="T21" s="370">
        <f t="shared" si="20"/>
        <v>0</v>
      </c>
      <c r="U21" s="579">
        <f t="shared" si="20"/>
        <v>0</v>
      </c>
      <c r="V21" s="580">
        <f t="shared" si="20"/>
        <v>0</v>
      </c>
      <c r="W21" s="370">
        <f t="shared" si="20"/>
        <v>0</v>
      </c>
      <c r="X21" s="579">
        <f t="shared" si="20"/>
        <v>0</v>
      </c>
      <c r="Y21" s="580">
        <f t="shared" si="20"/>
        <v>34462</v>
      </c>
      <c r="Z21" s="598">
        <f t="shared" si="20"/>
        <v>44355</v>
      </c>
      <c r="AA21" s="579">
        <f t="shared" si="20"/>
        <v>31008</v>
      </c>
      <c r="AB21" s="580">
        <f t="shared" si="20"/>
        <v>3881</v>
      </c>
      <c r="AC21" s="598">
        <f t="shared" si="20"/>
        <v>3881</v>
      </c>
      <c r="AD21" s="579">
        <f t="shared" si="20"/>
        <v>3881</v>
      </c>
      <c r="AE21" s="580">
        <f t="shared" si="20"/>
        <v>329851</v>
      </c>
      <c r="AF21" s="598">
        <f t="shared" si="20"/>
        <v>365951</v>
      </c>
      <c r="AG21" s="579">
        <f t="shared" si="20"/>
        <v>365951</v>
      </c>
      <c r="AH21" s="580">
        <f t="shared" si="20"/>
        <v>45000</v>
      </c>
      <c r="AI21" s="598">
        <f t="shared" si="20"/>
        <v>53010</v>
      </c>
      <c r="AJ21" s="579">
        <f t="shared" si="20"/>
        <v>19180</v>
      </c>
      <c r="AK21" s="580">
        <f t="shared" si="20"/>
        <v>0</v>
      </c>
      <c r="AL21" s="598">
        <f t="shared" si="20"/>
        <v>0</v>
      </c>
      <c r="AM21" s="579">
        <f t="shared" si="20"/>
        <v>0</v>
      </c>
      <c r="AN21" s="580">
        <f t="shared" si="20"/>
        <v>7000</v>
      </c>
      <c r="AO21" s="598">
        <f t="shared" si="20"/>
        <v>2000</v>
      </c>
      <c r="AP21" s="579">
        <f t="shared" si="20"/>
        <v>1960</v>
      </c>
      <c r="AQ21" s="580">
        <f t="shared" si="20"/>
        <v>6000</v>
      </c>
      <c r="AR21" s="598">
        <f t="shared" si="20"/>
        <v>6000</v>
      </c>
      <c r="AS21" s="579">
        <f t="shared" si="20"/>
        <v>6000</v>
      </c>
      <c r="AT21" s="580">
        <f t="shared" si="20"/>
        <v>0</v>
      </c>
      <c r="AU21" s="598">
        <f t="shared" si="20"/>
        <v>0</v>
      </c>
      <c r="AV21" s="579">
        <f t="shared" si="20"/>
        <v>0</v>
      </c>
      <c r="AW21" s="580">
        <f t="shared" si="20"/>
        <v>0</v>
      </c>
      <c r="AX21" s="598">
        <f t="shared" si="20"/>
        <v>0</v>
      </c>
      <c r="AY21" s="579">
        <f t="shared" si="20"/>
        <v>0</v>
      </c>
      <c r="AZ21" s="580">
        <f t="shared" si="20"/>
        <v>0</v>
      </c>
      <c r="BA21" s="598">
        <f t="shared" si="20"/>
        <v>0</v>
      </c>
      <c r="BB21" s="579">
        <f t="shared" si="20"/>
        <v>0</v>
      </c>
      <c r="BC21" s="580">
        <f t="shared" si="20"/>
        <v>0</v>
      </c>
      <c r="BD21" s="598">
        <f t="shared" si="20"/>
        <v>250</v>
      </c>
      <c r="BE21" s="579">
        <f t="shared" si="20"/>
        <v>250</v>
      </c>
      <c r="BF21" s="580">
        <f t="shared" si="20"/>
        <v>0</v>
      </c>
      <c r="BG21" s="598">
        <f t="shared" si="20"/>
        <v>0</v>
      </c>
      <c r="BH21" s="579">
        <f t="shared" si="20"/>
        <v>0</v>
      </c>
      <c r="BI21" s="580">
        <f t="shared" si="20"/>
        <v>429194</v>
      </c>
      <c r="BJ21" s="598">
        <f t="shared" si="20"/>
        <v>481447</v>
      </c>
      <c r="BK21" s="579">
        <f t="shared" si="20"/>
        <v>431490</v>
      </c>
      <c r="BL21" s="580">
        <f t="shared" si="20"/>
        <v>0</v>
      </c>
      <c r="BM21" s="598">
        <f t="shared" si="20"/>
        <v>0</v>
      </c>
      <c r="BN21" s="579">
        <f aca="true" t="shared" si="21" ref="BN21:DG21">SUM(BN22:BN23)</f>
        <v>0</v>
      </c>
      <c r="BO21" s="580">
        <f t="shared" si="21"/>
        <v>6000</v>
      </c>
      <c r="BP21" s="598">
        <f t="shared" si="21"/>
        <v>6000</v>
      </c>
      <c r="BQ21" s="579">
        <f t="shared" si="21"/>
        <v>0</v>
      </c>
      <c r="BR21" s="580">
        <f t="shared" si="21"/>
        <v>0</v>
      </c>
      <c r="BS21" s="598">
        <f t="shared" si="21"/>
        <v>0</v>
      </c>
      <c r="BT21" s="579">
        <f t="shared" si="21"/>
        <v>0</v>
      </c>
      <c r="BU21" s="580">
        <f t="shared" si="21"/>
        <v>20000</v>
      </c>
      <c r="BV21" s="598">
        <f t="shared" si="21"/>
        <v>0</v>
      </c>
      <c r="BW21" s="579">
        <f t="shared" si="21"/>
        <v>0</v>
      </c>
      <c r="BX21" s="580">
        <f t="shared" si="21"/>
        <v>0</v>
      </c>
      <c r="BY21" s="598">
        <f t="shared" si="21"/>
        <v>0</v>
      </c>
      <c r="BZ21" s="579">
        <f t="shared" si="21"/>
        <v>0</v>
      </c>
      <c r="CA21" s="580">
        <f t="shared" si="21"/>
        <v>0</v>
      </c>
      <c r="CB21" s="598">
        <f t="shared" si="21"/>
        <v>0</v>
      </c>
      <c r="CC21" s="579">
        <f t="shared" si="21"/>
        <v>0</v>
      </c>
      <c r="CD21" s="580">
        <f t="shared" si="21"/>
        <v>0</v>
      </c>
      <c r="CE21" s="598">
        <f t="shared" si="21"/>
        <v>700</v>
      </c>
      <c r="CF21" s="579">
        <f t="shared" si="21"/>
        <v>400</v>
      </c>
      <c r="CG21" s="580">
        <f t="shared" si="21"/>
        <v>0</v>
      </c>
      <c r="CH21" s="598">
        <f t="shared" si="21"/>
        <v>0</v>
      </c>
      <c r="CI21" s="579">
        <f t="shared" si="21"/>
        <v>0</v>
      </c>
      <c r="CJ21" s="580">
        <f t="shared" si="21"/>
        <v>92450</v>
      </c>
      <c r="CK21" s="598">
        <f t="shared" si="21"/>
        <v>169423</v>
      </c>
      <c r="CL21" s="579">
        <f t="shared" si="21"/>
        <v>100364</v>
      </c>
      <c r="CM21" s="580">
        <f t="shared" si="21"/>
        <v>118450</v>
      </c>
      <c r="CN21" s="598">
        <f t="shared" si="21"/>
        <v>176123</v>
      </c>
      <c r="CO21" s="579">
        <f t="shared" si="21"/>
        <v>100764</v>
      </c>
      <c r="CP21" s="580">
        <f t="shared" si="12"/>
        <v>547644</v>
      </c>
      <c r="CQ21" s="598">
        <f t="shared" si="9"/>
        <v>657570</v>
      </c>
      <c r="CR21" s="579">
        <f t="shared" si="10"/>
        <v>532254</v>
      </c>
      <c r="CS21" s="580">
        <f t="shared" si="21"/>
        <v>0</v>
      </c>
      <c r="CT21" s="598">
        <f t="shared" si="21"/>
        <v>0</v>
      </c>
      <c r="CU21" s="579">
        <f t="shared" si="21"/>
        <v>0</v>
      </c>
      <c r="CV21" s="580">
        <f>SUM(CV22:CV23)</f>
        <v>0</v>
      </c>
      <c r="CW21" s="598">
        <f>SUM(CW22:CW23)</f>
        <v>0</v>
      </c>
      <c r="CX21" s="579">
        <f>SUM(CX22:CX23)</f>
        <v>0</v>
      </c>
      <c r="CY21" s="580">
        <f t="shared" si="21"/>
        <v>0</v>
      </c>
      <c r="CZ21" s="598">
        <f t="shared" si="21"/>
        <v>0</v>
      </c>
      <c r="DA21" s="579">
        <f t="shared" si="21"/>
        <v>0</v>
      </c>
      <c r="DB21" s="580">
        <f t="shared" si="21"/>
        <v>0</v>
      </c>
      <c r="DC21" s="591">
        <f t="shared" si="21"/>
        <v>0</v>
      </c>
      <c r="DD21" s="579">
        <f t="shared" si="21"/>
        <v>0</v>
      </c>
      <c r="DE21" s="580">
        <f>SUM(DE22:DE23)</f>
        <v>0</v>
      </c>
      <c r="DF21" s="594">
        <f t="shared" si="21"/>
        <v>0</v>
      </c>
      <c r="DG21" s="370">
        <f t="shared" si="21"/>
        <v>0</v>
      </c>
      <c r="DH21" s="580">
        <f aca="true" t="shared" si="22" ref="DH21:DM21">SUM(DH22:DH23)</f>
        <v>0</v>
      </c>
      <c r="DI21" s="591">
        <f t="shared" si="22"/>
        <v>0</v>
      </c>
      <c r="DJ21" s="579">
        <f t="shared" si="22"/>
        <v>0</v>
      </c>
      <c r="DK21" s="580">
        <f t="shared" si="22"/>
        <v>0</v>
      </c>
      <c r="DL21" s="591">
        <f t="shared" si="22"/>
        <v>0</v>
      </c>
      <c r="DM21" s="579">
        <f t="shared" si="22"/>
        <v>0</v>
      </c>
      <c r="DN21" s="580">
        <f t="shared" si="4"/>
        <v>547644</v>
      </c>
      <c r="DO21" s="594">
        <f t="shared" si="5"/>
        <v>657570</v>
      </c>
      <c r="DP21" s="370">
        <f t="shared" si="6"/>
        <v>532254</v>
      </c>
      <c r="DQ21" s="371">
        <f t="shared" si="13"/>
        <v>80.94256124823212</v>
      </c>
    </row>
    <row r="22" spans="1:121" ht="24.75" customHeight="1">
      <c r="A22" s="701" t="s">
        <v>56</v>
      </c>
      <c r="B22" s="1269" t="s">
        <v>962</v>
      </c>
      <c r="C22" s="1270">
        <v>3811</v>
      </c>
      <c r="D22" s="582">
        <v>1000</v>
      </c>
      <c r="E22" s="417">
        <v>1000</v>
      </c>
      <c r="F22" s="581">
        <v>50</v>
      </c>
      <c r="G22" s="582"/>
      <c r="H22" s="417"/>
      <c r="I22" s="581"/>
      <c r="J22" s="582"/>
      <c r="K22" s="417"/>
      <c r="L22" s="581"/>
      <c r="M22" s="582"/>
      <c r="N22" s="417"/>
      <c r="O22" s="581"/>
      <c r="P22" s="582"/>
      <c r="Q22" s="417"/>
      <c r="R22" s="581"/>
      <c r="S22" s="582"/>
      <c r="T22" s="417"/>
      <c r="U22" s="581"/>
      <c r="V22" s="582"/>
      <c r="W22" s="417"/>
      <c r="X22" s="581"/>
      <c r="Y22" s="582">
        <v>34462</v>
      </c>
      <c r="Z22" s="599">
        <v>44355</v>
      </c>
      <c r="AA22" s="581">
        <v>31008</v>
      </c>
      <c r="AB22" s="582">
        <v>3881</v>
      </c>
      <c r="AC22" s="599">
        <v>3881</v>
      </c>
      <c r="AD22" s="581">
        <v>3881</v>
      </c>
      <c r="AE22" s="582">
        <v>329851</v>
      </c>
      <c r="AF22" s="599">
        <v>350300</v>
      </c>
      <c r="AG22" s="581">
        <v>350300</v>
      </c>
      <c r="AH22" s="582"/>
      <c r="AI22" s="599"/>
      <c r="AJ22" s="581"/>
      <c r="AK22" s="582"/>
      <c r="AL22" s="599"/>
      <c r="AM22" s="581"/>
      <c r="AN22" s="582">
        <v>7000</v>
      </c>
      <c r="AO22" s="599">
        <v>2000</v>
      </c>
      <c r="AP22" s="581">
        <v>1960</v>
      </c>
      <c r="AQ22" s="582">
        <v>6000</v>
      </c>
      <c r="AR22" s="599">
        <v>6000</v>
      </c>
      <c r="AS22" s="581">
        <v>6000</v>
      </c>
      <c r="AT22" s="582"/>
      <c r="AU22" s="599"/>
      <c r="AV22" s="581"/>
      <c r="AW22" s="582"/>
      <c r="AX22" s="599"/>
      <c r="AY22" s="581"/>
      <c r="AZ22" s="582"/>
      <c r="BA22" s="599"/>
      <c r="BB22" s="581"/>
      <c r="BC22" s="582"/>
      <c r="BD22" s="599">
        <v>250</v>
      </c>
      <c r="BE22" s="581">
        <v>250</v>
      </c>
      <c r="BF22" s="582"/>
      <c r="BG22" s="599"/>
      <c r="BH22" s="581"/>
      <c r="BI22" s="582">
        <f aca="true" t="shared" si="23" ref="BI22:BK25">D22+G22+J22+M22+P22+S22+V22+Y22+AB22+AE22+AH22+AK22+AN22+AQ22+AT22+AW22+AZ22+BC22+BF22</f>
        <v>382194</v>
      </c>
      <c r="BJ22" s="599">
        <f t="shared" si="23"/>
        <v>407786</v>
      </c>
      <c r="BK22" s="581">
        <f t="shared" si="23"/>
        <v>393449</v>
      </c>
      <c r="BL22" s="582"/>
      <c r="BM22" s="599"/>
      <c r="BN22" s="581"/>
      <c r="BO22" s="582">
        <v>6000</v>
      </c>
      <c r="BP22" s="599">
        <v>6000</v>
      </c>
      <c r="BQ22" s="581"/>
      <c r="BR22" s="582"/>
      <c r="BS22" s="599"/>
      <c r="BT22" s="581"/>
      <c r="BU22" s="582"/>
      <c r="BV22" s="599"/>
      <c r="BW22" s="581"/>
      <c r="BX22" s="582"/>
      <c r="BY22" s="599"/>
      <c r="BZ22" s="581"/>
      <c r="CA22" s="582"/>
      <c r="CB22" s="599"/>
      <c r="CC22" s="581"/>
      <c r="CD22" s="582"/>
      <c r="CE22" s="599">
        <v>700</v>
      </c>
      <c r="CF22" s="581">
        <v>400</v>
      </c>
      <c r="CG22" s="582"/>
      <c r="CH22" s="599"/>
      <c r="CI22" s="581"/>
      <c r="CJ22" s="582">
        <v>48500</v>
      </c>
      <c r="CK22" s="599">
        <v>41921</v>
      </c>
      <c r="CL22" s="581">
        <v>35440</v>
      </c>
      <c r="CM22" s="582">
        <f aca="true" t="shared" si="24" ref="CM22:CO25">BL22+BO22+BR22+BU22+BX22+CA22+CD22+CG22+CJ22</f>
        <v>54500</v>
      </c>
      <c r="CN22" s="599">
        <f t="shared" si="24"/>
        <v>48621</v>
      </c>
      <c r="CO22" s="581">
        <f t="shared" si="24"/>
        <v>35840</v>
      </c>
      <c r="CP22" s="602">
        <f t="shared" si="12"/>
        <v>436694</v>
      </c>
      <c r="CQ22" s="603">
        <f t="shared" si="9"/>
        <v>456407</v>
      </c>
      <c r="CR22" s="604">
        <f t="shared" si="10"/>
        <v>429289</v>
      </c>
      <c r="CS22" s="582"/>
      <c r="CT22" s="599"/>
      <c r="CU22" s="581"/>
      <c r="CV22" s="582"/>
      <c r="CW22" s="599"/>
      <c r="CX22" s="581"/>
      <c r="CY22" s="582"/>
      <c r="CZ22" s="599"/>
      <c r="DA22" s="581"/>
      <c r="DB22" s="582"/>
      <c r="DC22" s="592"/>
      <c r="DD22" s="581"/>
      <c r="DE22" s="582">
        <f aca="true" t="shared" si="25" ref="DE22:DG25">CS22+CV22+CY22+DB22</f>
        <v>0</v>
      </c>
      <c r="DF22" s="418">
        <f t="shared" si="25"/>
        <v>0</v>
      </c>
      <c r="DG22" s="417">
        <f t="shared" si="25"/>
        <v>0</v>
      </c>
      <c r="DH22" s="582"/>
      <c r="DI22" s="592"/>
      <c r="DJ22" s="581"/>
      <c r="DK22" s="582"/>
      <c r="DL22" s="592"/>
      <c r="DM22" s="581"/>
      <c r="DN22" s="582">
        <f t="shared" si="4"/>
        <v>436694</v>
      </c>
      <c r="DO22" s="418">
        <f t="shared" si="5"/>
        <v>456407</v>
      </c>
      <c r="DP22" s="417">
        <f t="shared" si="6"/>
        <v>429289</v>
      </c>
      <c r="DQ22" s="686">
        <f t="shared" si="13"/>
        <v>94.05837333783225</v>
      </c>
    </row>
    <row r="23" spans="1:121" ht="24.75" customHeight="1">
      <c r="A23" s="701" t="s">
        <v>990</v>
      </c>
      <c r="B23" s="1269" t="s">
        <v>956</v>
      </c>
      <c r="C23" s="1270">
        <v>3821</v>
      </c>
      <c r="D23" s="582">
        <v>2000</v>
      </c>
      <c r="E23" s="417">
        <v>5000</v>
      </c>
      <c r="F23" s="581">
        <v>3210</v>
      </c>
      <c r="G23" s="582"/>
      <c r="H23" s="417"/>
      <c r="I23" s="581"/>
      <c r="J23" s="582"/>
      <c r="K23" s="417"/>
      <c r="L23" s="581"/>
      <c r="M23" s="582"/>
      <c r="N23" s="417"/>
      <c r="O23" s="581"/>
      <c r="P23" s="582"/>
      <c r="Q23" s="417"/>
      <c r="R23" s="581"/>
      <c r="S23" s="582"/>
      <c r="T23" s="417"/>
      <c r="U23" s="581"/>
      <c r="V23" s="582"/>
      <c r="W23" s="417"/>
      <c r="X23" s="581"/>
      <c r="Y23" s="582"/>
      <c r="Z23" s="599"/>
      <c r="AA23" s="581"/>
      <c r="AB23" s="582"/>
      <c r="AC23" s="599"/>
      <c r="AD23" s="581"/>
      <c r="AE23" s="582"/>
      <c r="AF23" s="599">
        <v>15651</v>
      </c>
      <c r="AG23" s="581">
        <v>15651</v>
      </c>
      <c r="AH23" s="582">
        <v>45000</v>
      </c>
      <c r="AI23" s="599">
        <v>53010</v>
      </c>
      <c r="AJ23" s="581">
        <v>19180</v>
      </c>
      <c r="AK23" s="582"/>
      <c r="AL23" s="599"/>
      <c r="AM23" s="581"/>
      <c r="AN23" s="582"/>
      <c r="AO23" s="599"/>
      <c r="AP23" s="581"/>
      <c r="AQ23" s="582"/>
      <c r="AR23" s="599"/>
      <c r="AS23" s="581"/>
      <c r="AT23" s="582"/>
      <c r="AU23" s="599"/>
      <c r="AV23" s="581"/>
      <c r="AW23" s="582"/>
      <c r="AX23" s="599"/>
      <c r="AY23" s="581"/>
      <c r="AZ23" s="582"/>
      <c r="BA23" s="599"/>
      <c r="BB23" s="581"/>
      <c r="BC23" s="582"/>
      <c r="BD23" s="599"/>
      <c r="BE23" s="581"/>
      <c r="BF23" s="582"/>
      <c r="BG23" s="599"/>
      <c r="BH23" s="581"/>
      <c r="BI23" s="582">
        <f t="shared" si="23"/>
        <v>47000</v>
      </c>
      <c r="BJ23" s="599">
        <f t="shared" si="23"/>
        <v>73661</v>
      </c>
      <c r="BK23" s="581">
        <f t="shared" si="23"/>
        <v>38041</v>
      </c>
      <c r="BL23" s="582"/>
      <c r="BM23" s="599"/>
      <c r="BN23" s="581"/>
      <c r="BO23" s="582"/>
      <c r="BP23" s="599"/>
      <c r="BQ23" s="581"/>
      <c r="BR23" s="582"/>
      <c r="BS23" s="599"/>
      <c r="BT23" s="581"/>
      <c r="BU23" s="582">
        <v>20000</v>
      </c>
      <c r="BV23" s="599"/>
      <c r="BW23" s="581"/>
      <c r="BX23" s="582"/>
      <c r="BY23" s="599"/>
      <c r="BZ23" s="581"/>
      <c r="CA23" s="582"/>
      <c r="CB23" s="599"/>
      <c r="CC23" s="581"/>
      <c r="CD23" s="582"/>
      <c r="CE23" s="599"/>
      <c r="CF23" s="581"/>
      <c r="CG23" s="582"/>
      <c r="CH23" s="599"/>
      <c r="CI23" s="581"/>
      <c r="CJ23" s="582">
        <v>43950</v>
      </c>
      <c r="CK23" s="599">
        <v>127502</v>
      </c>
      <c r="CL23" s="581">
        <v>64924</v>
      </c>
      <c r="CM23" s="582">
        <f t="shared" si="24"/>
        <v>63950</v>
      </c>
      <c r="CN23" s="599">
        <f t="shared" si="24"/>
        <v>127502</v>
      </c>
      <c r="CO23" s="581">
        <f t="shared" si="24"/>
        <v>64924</v>
      </c>
      <c r="CP23" s="602">
        <f t="shared" si="12"/>
        <v>110950</v>
      </c>
      <c r="CQ23" s="603">
        <f t="shared" si="9"/>
        <v>201163</v>
      </c>
      <c r="CR23" s="604">
        <f t="shared" si="10"/>
        <v>102965</v>
      </c>
      <c r="CS23" s="582"/>
      <c r="CT23" s="599"/>
      <c r="CU23" s="581"/>
      <c r="CV23" s="582"/>
      <c r="CW23" s="599"/>
      <c r="CX23" s="581"/>
      <c r="CY23" s="582"/>
      <c r="CZ23" s="599"/>
      <c r="DA23" s="581"/>
      <c r="DB23" s="582"/>
      <c r="DC23" s="592"/>
      <c r="DD23" s="581"/>
      <c r="DE23" s="582">
        <f t="shared" si="25"/>
        <v>0</v>
      </c>
      <c r="DF23" s="418">
        <f t="shared" si="25"/>
        <v>0</v>
      </c>
      <c r="DG23" s="417">
        <f t="shared" si="25"/>
        <v>0</v>
      </c>
      <c r="DH23" s="582"/>
      <c r="DI23" s="592"/>
      <c r="DJ23" s="581"/>
      <c r="DK23" s="582"/>
      <c r="DL23" s="592"/>
      <c r="DM23" s="581"/>
      <c r="DN23" s="582">
        <f t="shared" si="4"/>
        <v>110950</v>
      </c>
      <c r="DO23" s="418">
        <f t="shared" si="5"/>
        <v>201163</v>
      </c>
      <c r="DP23" s="417">
        <f t="shared" si="6"/>
        <v>102965</v>
      </c>
      <c r="DQ23" s="684">
        <f t="shared" si="13"/>
        <v>51.18486003887395</v>
      </c>
    </row>
    <row r="24" spans="1:121" ht="30" customHeight="1">
      <c r="A24" s="702" t="s">
        <v>157</v>
      </c>
      <c r="B24" s="1272" t="s">
        <v>798</v>
      </c>
      <c r="C24" s="1273" t="s">
        <v>890</v>
      </c>
      <c r="D24" s="580"/>
      <c r="E24" s="370"/>
      <c r="F24" s="579"/>
      <c r="G24" s="580"/>
      <c r="H24" s="370"/>
      <c r="I24" s="579"/>
      <c r="J24" s="580"/>
      <c r="K24" s="370"/>
      <c r="L24" s="579"/>
      <c r="M24" s="580"/>
      <c r="N24" s="370"/>
      <c r="O24" s="579"/>
      <c r="P24" s="580"/>
      <c r="Q24" s="370"/>
      <c r="R24" s="579"/>
      <c r="S24" s="580"/>
      <c r="T24" s="370"/>
      <c r="U24" s="579"/>
      <c r="V24" s="580"/>
      <c r="W24" s="370"/>
      <c r="X24" s="579"/>
      <c r="Y24" s="580">
        <v>163380</v>
      </c>
      <c r="Z24" s="598">
        <v>168965</v>
      </c>
      <c r="AA24" s="579">
        <v>141612</v>
      </c>
      <c r="AB24" s="580"/>
      <c r="AC24" s="598"/>
      <c r="AD24" s="579"/>
      <c r="AE24" s="580"/>
      <c r="AF24" s="598"/>
      <c r="AG24" s="579"/>
      <c r="AH24" s="580"/>
      <c r="AI24" s="598"/>
      <c r="AJ24" s="579"/>
      <c r="AK24" s="580"/>
      <c r="AL24" s="598"/>
      <c r="AM24" s="579"/>
      <c r="AN24" s="580"/>
      <c r="AO24" s="598"/>
      <c r="AP24" s="579"/>
      <c r="AQ24" s="580"/>
      <c r="AR24" s="598"/>
      <c r="AS24" s="579"/>
      <c r="AT24" s="580"/>
      <c r="AU24" s="598"/>
      <c r="AV24" s="579"/>
      <c r="AW24" s="580"/>
      <c r="AX24" s="598"/>
      <c r="AY24" s="579"/>
      <c r="AZ24" s="580"/>
      <c r="BA24" s="598"/>
      <c r="BB24" s="579"/>
      <c r="BC24" s="580">
        <v>1000</v>
      </c>
      <c r="BD24" s="598">
        <v>1021</v>
      </c>
      <c r="BE24" s="579">
        <v>1021</v>
      </c>
      <c r="BF24" s="580"/>
      <c r="BG24" s="598"/>
      <c r="BH24" s="579"/>
      <c r="BI24" s="580">
        <f t="shared" si="23"/>
        <v>164380</v>
      </c>
      <c r="BJ24" s="598">
        <f t="shared" si="23"/>
        <v>169986</v>
      </c>
      <c r="BK24" s="579">
        <f t="shared" si="23"/>
        <v>142633</v>
      </c>
      <c r="BL24" s="580"/>
      <c r="BM24" s="598"/>
      <c r="BN24" s="579"/>
      <c r="BO24" s="580"/>
      <c r="BP24" s="598"/>
      <c r="BQ24" s="579"/>
      <c r="BR24" s="580"/>
      <c r="BS24" s="598"/>
      <c r="BT24" s="579"/>
      <c r="BU24" s="580"/>
      <c r="BV24" s="598"/>
      <c r="BW24" s="579"/>
      <c r="BX24" s="580"/>
      <c r="BY24" s="598"/>
      <c r="BZ24" s="579"/>
      <c r="CA24" s="580"/>
      <c r="CB24" s="598"/>
      <c r="CC24" s="579"/>
      <c r="CD24" s="580">
        <v>14963</v>
      </c>
      <c r="CE24" s="598">
        <v>10709</v>
      </c>
      <c r="CF24" s="579">
        <v>9296</v>
      </c>
      <c r="CG24" s="580">
        <v>250</v>
      </c>
      <c r="CH24" s="598">
        <v>250</v>
      </c>
      <c r="CI24" s="579">
        <v>75</v>
      </c>
      <c r="CJ24" s="580">
        <v>6000</v>
      </c>
      <c r="CK24" s="598">
        <v>4674</v>
      </c>
      <c r="CL24" s="579">
        <v>2267</v>
      </c>
      <c r="CM24" s="580">
        <f t="shared" si="24"/>
        <v>21213</v>
      </c>
      <c r="CN24" s="598">
        <f t="shared" si="24"/>
        <v>15633</v>
      </c>
      <c r="CO24" s="579">
        <f t="shared" si="24"/>
        <v>11638</v>
      </c>
      <c r="CP24" s="580">
        <f t="shared" si="12"/>
        <v>185593</v>
      </c>
      <c r="CQ24" s="598">
        <f t="shared" si="9"/>
        <v>185619</v>
      </c>
      <c r="CR24" s="579">
        <f t="shared" si="10"/>
        <v>154271</v>
      </c>
      <c r="CS24" s="580">
        <v>138296</v>
      </c>
      <c r="CT24" s="598">
        <v>129256</v>
      </c>
      <c r="CU24" s="579">
        <v>129736</v>
      </c>
      <c r="CV24" s="580"/>
      <c r="CW24" s="598"/>
      <c r="CX24" s="579"/>
      <c r="CY24" s="580"/>
      <c r="CZ24" s="598"/>
      <c r="DA24" s="579"/>
      <c r="DB24" s="580"/>
      <c r="DC24" s="591"/>
      <c r="DD24" s="579"/>
      <c r="DE24" s="580">
        <f t="shared" si="25"/>
        <v>138296</v>
      </c>
      <c r="DF24" s="594">
        <f t="shared" si="25"/>
        <v>129256</v>
      </c>
      <c r="DG24" s="370">
        <f t="shared" si="25"/>
        <v>129736</v>
      </c>
      <c r="DH24" s="580"/>
      <c r="DI24" s="591"/>
      <c r="DJ24" s="579"/>
      <c r="DK24" s="580"/>
      <c r="DL24" s="591"/>
      <c r="DM24" s="579"/>
      <c r="DN24" s="580">
        <f t="shared" si="4"/>
        <v>323889</v>
      </c>
      <c r="DO24" s="594">
        <f t="shared" si="5"/>
        <v>314875</v>
      </c>
      <c r="DP24" s="370">
        <f t="shared" si="6"/>
        <v>284007</v>
      </c>
      <c r="DQ24" s="371">
        <f t="shared" si="13"/>
        <v>90.19674473997618</v>
      </c>
    </row>
    <row r="25" spans="1:121" ht="30" customHeight="1">
      <c r="A25" s="702" t="s">
        <v>158</v>
      </c>
      <c r="B25" s="1272" t="s">
        <v>124</v>
      </c>
      <c r="C25" s="1274">
        <v>588</v>
      </c>
      <c r="D25" s="580"/>
      <c r="E25" s="370"/>
      <c r="F25" s="579"/>
      <c r="G25" s="580"/>
      <c r="H25" s="370"/>
      <c r="I25" s="579"/>
      <c r="J25" s="580"/>
      <c r="K25" s="370"/>
      <c r="L25" s="579"/>
      <c r="M25" s="580"/>
      <c r="N25" s="370"/>
      <c r="O25" s="579"/>
      <c r="P25" s="580"/>
      <c r="Q25" s="370"/>
      <c r="R25" s="579"/>
      <c r="S25" s="580"/>
      <c r="T25" s="370"/>
      <c r="U25" s="579"/>
      <c r="V25" s="580"/>
      <c r="W25" s="370"/>
      <c r="X25" s="579"/>
      <c r="Y25" s="580"/>
      <c r="Z25" s="598"/>
      <c r="AA25" s="579"/>
      <c r="AB25" s="580"/>
      <c r="AC25" s="598"/>
      <c r="AD25" s="579"/>
      <c r="AE25" s="580"/>
      <c r="AF25" s="598"/>
      <c r="AG25" s="579"/>
      <c r="AH25" s="580"/>
      <c r="AI25" s="598"/>
      <c r="AJ25" s="579"/>
      <c r="AK25" s="580"/>
      <c r="AL25" s="598"/>
      <c r="AM25" s="579"/>
      <c r="AN25" s="580"/>
      <c r="AO25" s="598"/>
      <c r="AP25" s="579"/>
      <c r="AQ25" s="580"/>
      <c r="AR25" s="598"/>
      <c r="AS25" s="579"/>
      <c r="AT25" s="580"/>
      <c r="AU25" s="598"/>
      <c r="AV25" s="579"/>
      <c r="AW25" s="580"/>
      <c r="AX25" s="598"/>
      <c r="AY25" s="579"/>
      <c r="AZ25" s="580"/>
      <c r="BA25" s="598"/>
      <c r="BB25" s="579"/>
      <c r="BC25" s="580"/>
      <c r="BD25" s="598"/>
      <c r="BE25" s="579"/>
      <c r="BF25" s="580"/>
      <c r="BG25" s="598"/>
      <c r="BH25" s="579"/>
      <c r="BI25" s="580">
        <f t="shared" si="23"/>
        <v>0</v>
      </c>
      <c r="BJ25" s="598">
        <f t="shared" si="23"/>
        <v>0</v>
      </c>
      <c r="BK25" s="579">
        <f t="shared" si="23"/>
        <v>0</v>
      </c>
      <c r="BL25" s="580"/>
      <c r="BM25" s="598"/>
      <c r="BN25" s="579"/>
      <c r="BO25" s="580"/>
      <c r="BP25" s="598"/>
      <c r="BQ25" s="579"/>
      <c r="BR25" s="580"/>
      <c r="BS25" s="598"/>
      <c r="BT25" s="579"/>
      <c r="BU25" s="580"/>
      <c r="BV25" s="598"/>
      <c r="BW25" s="579"/>
      <c r="BX25" s="580"/>
      <c r="BY25" s="598"/>
      <c r="BZ25" s="579"/>
      <c r="CA25" s="580"/>
      <c r="CB25" s="598"/>
      <c r="CC25" s="579"/>
      <c r="CD25" s="580"/>
      <c r="CE25" s="598"/>
      <c r="CF25" s="579"/>
      <c r="CG25" s="580"/>
      <c r="CH25" s="598"/>
      <c r="CI25" s="579"/>
      <c r="CJ25" s="580">
        <v>9510</v>
      </c>
      <c r="CK25" s="598">
        <v>10485</v>
      </c>
      <c r="CL25" s="579">
        <v>8515</v>
      </c>
      <c r="CM25" s="580">
        <f t="shared" si="24"/>
        <v>9510</v>
      </c>
      <c r="CN25" s="598">
        <f t="shared" si="24"/>
        <v>10485</v>
      </c>
      <c r="CO25" s="579">
        <f t="shared" si="24"/>
        <v>8515</v>
      </c>
      <c r="CP25" s="580">
        <f t="shared" si="12"/>
        <v>9510</v>
      </c>
      <c r="CQ25" s="598">
        <f t="shared" si="9"/>
        <v>10485</v>
      </c>
      <c r="CR25" s="579">
        <f t="shared" si="10"/>
        <v>8515</v>
      </c>
      <c r="CS25" s="580"/>
      <c r="CT25" s="598"/>
      <c r="CU25" s="579"/>
      <c r="CV25" s="580"/>
      <c r="CW25" s="598"/>
      <c r="CX25" s="579"/>
      <c r="CY25" s="580"/>
      <c r="CZ25" s="598"/>
      <c r="DA25" s="579"/>
      <c r="DB25" s="580"/>
      <c r="DC25" s="591"/>
      <c r="DD25" s="579"/>
      <c r="DE25" s="580">
        <f t="shared" si="25"/>
        <v>0</v>
      </c>
      <c r="DF25" s="594">
        <f t="shared" si="25"/>
        <v>0</v>
      </c>
      <c r="DG25" s="370">
        <f t="shared" si="25"/>
        <v>0</v>
      </c>
      <c r="DH25" s="580"/>
      <c r="DI25" s="591"/>
      <c r="DJ25" s="579">
        <f>'6_sz_tábla K. '!I50</f>
        <v>0</v>
      </c>
      <c r="DK25" s="580"/>
      <c r="DL25" s="591"/>
      <c r="DM25" s="579"/>
      <c r="DN25" s="580">
        <f t="shared" si="4"/>
        <v>9510</v>
      </c>
      <c r="DO25" s="594">
        <f t="shared" si="5"/>
        <v>10485</v>
      </c>
      <c r="DP25" s="370">
        <f t="shared" si="6"/>
        <v>8515</v>
      </c>
      <c r="DQ25" s="684">
        <f t="shared" si="13"/>
        <v>81.21125417262756</v>
      </c>
    </row>
    <row r="26" spans="1:121" s="126" customFormat="1" ht="30" customHeight="1">
      <c r="A26" s="702" t="s">
        <v>159</v>
      </c>
      <c r="B26" s="1272" t="s">
        <v>63</v>
      </c>
      <c r="C26" s="1272"/>
      <c r="D26" s="580">
        <f>SUM(D27:D29)</f>
        <v>0</v>
      </c>
      <c r="E26" s="370">
        <f aca="true" t="shared" si="26" ref="E26:BM26">SUM(E27:E29)</f>
        <v>0</v>
      </c>
      <c r="F26" s="579">
        <f t="shared" si="26"/>
        <v>0</v>
      </c>
      <c r="G26" s="580">
        <f t="shared" si="26"/>
        <v>0</v>
      </c>
      <c r="H26" s="370">
        <f t="shared" si="26"/>
        <v>200000</v>
      </c>
      <c r="I26" s="579">
        <f t="shared" si="26"/>
        <v>0</v>
      </c>
      <c r="J26" s="580">
        <f t="shared" si="26"/>
        <v>0</v>
      </c>
      <c r="K26" s="370">
        <f t="shared" si="26"/>
        <v>0</v>
      </c>
      <c r="L26" s="579">
        <f t="shared" si="26"/>
        <v>0</v>
      </c>
      <c r="M26" s="580">
        <f t="shared" si="26"/>
        <v>0</v>
      </c>
      <c r="N26" s="370">
        <f t="shared" si="26"/>
        <v>0</v>
      </c>
      <c r="O26" s="579">
        <f t="shared" si="26"/>
        <v>0</v>
      </c>
      <c r="P26" s="580">
        <f t="shared" si="26"/>
        <v>0</v>
      </c>
      <c r="Q26" s="370">
        <f t="shared" si="26"/>
        <v>0</v>
      </c>
      <c r="R26" s="579">
        <f t="shared" si="26"/>
        <v>0</v>
      </c>
      <c r="S26" s="580">
        <f t="shared" si="26"/>
        <v>0</v>
      </c>
      <c r="T26" s="370">
        <f t="shared" si="26"/>
        <v>0</v>
      </c>
      <c r="U26" s="579">
        <f t="shared" si="26"/>
        <v>0</v>
      </c>
      <c r="V26" s="580">
        <f t="shared" si="26"/>
        <v>31550</v>
      </c>
      <c r="W26" s="370">
        <f t="shared" si="26"/>
        <v>10681</v>
      </c>
      <c r="X26" s="579">
        <f t="shared" si="26"/>
        <v>0</v>
      </c>
      <c r="Y26" s="580">
        <f t="shared" si="26"/>
        <v>0</v>
      </c>
      <c r="Z26" s="598">
        <f t="shared" si="26"/>
        <v>0</v>
      </c>
      <c r="AA26" s="579">
        <f t="shared" si="26"/>
        <v>0</v>
      </c>
      <c r="AB26" s="580">
        <f t="shared" si="26"/>
        <v>0</v>
      </c>
      <c r="AC26" s="598">
        <f t="shared" si="26"/>
        <v>0</v>
      </c>
      <c r="AD26" s="579">
        <f t="shared" si="26"/>
        <v>0</v>
      </c>
      <c r="AE26" s="580">
        <f t="shared" si="26"/>
        <v>0</v>
      </c>
      <c r="AF26" s="598">
        <f t="shared" si="26"/>
        <v>0</v>
      </c>
      <c r="AG26" s="579">
        <f t="shared" si="26"/>
        <v>0</v>
      </c>
      <c r="AH26" s="580">
        <f t="shared" si="26"/>
        <v>0</v>
      </c>
      <c r="AI26" s="598">
        <f t="shared" si="26"/>
        <v>0</v>
      </c>
      <c r="AJ26" s="579">
        <f t="shared" si="26"/>
        <v>0</v>
      </c>
      <c r="AK26" s="580">
        <f t="shared" si="26"/>
        <v>0</v>
      </c>
      <c r="AL26" s="598">
        <f t="shared" si="26"/>
        <v>0</v>
      </c>
      <c r="AM26" s="579">
        <f t="shared" si="26"/>
        <v>0</v>
      </c>
      <c r="AN26" s="580">
        <f t="shared" si="26"/>
        <v>0</v>
      </c>
      <c r="AO26" s="598">
        <f t="shared" si="26"/>
        <v>90000</v>
      </c>
      <c r="AP26" s="579">
        <f t="shared" si="26"/>
        <v>0</v>
      </c>
      <c r="AQ26" s="580">
        <f t="shared" si="26"/>
        <v>0</v>
      </c>
      <c r="AR26" s="598">
        <f t="shared" si="26"/>
        <v>40000</v>
      </c>
      <c r="AS26" s="579">
        <f t="shared" si="26"/>
        <v>0</v>
      </c>
      <c r="AT26" s="580">
        <f t="shared" si="26"/>
        <v>0</v>
      </c>
      <c r="AU26" s="598">
        <f t="shared" si="26"/>
        <v>0</v>
      </c>
      <c r="AV26" s="579">
        <f t="shared" si="26"/>
        <v>0</v>
      </c>
      <c r="AW26" s="580">
        <f t="shared" si="26"/>
        <v>0</v>
      </c>
      <c r="AX26" s="598">
        <f t="shared" si="26"/>
        <v>0</v>
      </c>
      <c r="AY26" s="579">
        <f t="shared" si="26"/>
        <v>0</v>
      </c>
      <c r="AZ26" s="580">
        <f t="shared" si="26"/>
        <v>0</v>
      </c>
      <c r="BA26" s="598">
        <f t="shared" si="26"/>
        <v>0</v>
      </c>
      <c r="BB26" s="579">
        <f t="shared" si="26"/>
        <v>0</v>
      </c>
      <c r="BC26" s="580">
        <f t="shared" si="26"/>
        <v>1529500</v>
      </c>
      <c r="BD26" s="598">
        <f t="shared" si="26"/>
        <v>849732</v>
      </c>
      <c r="BE26" s="579">
        <f t="shared" si="26"/>
        <v>0</v>
      </c>
      <c r="BF26" s="580">
        <f t="shared" si="26"/>
        <v>2625</v>
      </c>
      <c r="BG26" s="598">
        <f t="shared" si="26"/>
        <v>62478</v>
      </c>
      <c r="BH26" s="579">
        <f t="shared" si="26"/>
        <v>0</v>
      </c>
      <c r="BI26" s="580">
        <f t="shared" si="26"/>
        <v>1563675</v>
      </c>
      <c r="BJ26" s="598">
        <f t="shared" si="26"/>
        <v>1252891</v>
      </c>
      <c r="BK26" s="579">
        <f t="shared" si="26"/>
        <v>0</v>
      </c>
      <c r="BL26" s="580">
        <f t="shared" si="26"/>
        <v>0</v>
      </c>
      <c r="BM26" s="598">
        <f t="shared" si="26"/>
        <v>0</v>
      </c>
      <c r="BN26" s="579">
        <f aca="true" t="shared" si="27" ref="BN26:DD26">SUM(BN27:BN29)</f>
        <v>0</v>
      </c>
      <c r="BO26" s="580">
        <f t="shared" si="27"/>
        <v>0</v>
      </c>
      <c r="BP26" s="598">
        <f t="shared" si="27"/>
        <v>0</v>
      </c>
      <c r="BQ26" s="579">
        <f t="shared" si="27"/>
        <v>0</v>
      </c>
      <c r="BR26" s="580">
        <f t="shared" si="27"/>
        <v>0</v>
      </c>
      <c r="BS26" s="598">
        <f t="shared" si="27"/>
        <v>0</v>
      </c>
      <c r="BT26" s="579">
        <f t="shared" si="27"/>
        <v>0</v>
      </c>
      <c r="BU26" s="580">
        <f t="shared" si="27"/>
        <v>0</v>
      </c>
      <c r="BV26" s="598">
        <f t="shared" si="27"/>
        <v>0</v>
      </c>
      <c r="BW26" s="579">
        <f t="shared" si="27"/>
        <v>0</v>
      </c>
      <c r="BX26" s="580">
        <f t="shared" si="27"/>
        <v>0</v>
      </c>
      <c r="BY26" s="598">
        <f t="shared" si="27"/>
        <v>0</v>
      </c>
      <c r="BZ26" s="579">
        <f t="shared" si="27"/>
        <v>0</v>
      </c>
      <c r="CA26" s="580">
        <f t="shared" si="27"/>
        <v>0</v>
      </c>
      <c r="CB26" s="598">
        <f t="shared" si="27"/>
        <v>0</v>
      </c>
      <c r="CC26" s="579">
        <f t="shared" si="27"/>
        <v>0</v>
      </c>
      <c r="CD26" s="580">
        <f t="shared" si="27"/>
        <v>175500</v>
      </c>
      <c r="CE26" s="598">
        <f t="shared" si="27"/>
        <v>519345</v>
      </c>
      <c r="CF26" s="579">
        <f t="shared" si="27"/>
        <v>0</v>
      </c>
      <c r="CG26" s="580">
        <f t="shared" si="27"/>
        <v>0</v>
      </c>
      <c r="CH26" s="598">
        <f t="shared" si="27"/>
        <v>0</v>
      </c>
      <c r="CI26" s="579">
        <f t="shared" si="27"/>
        <v>0</v>
      </c>
      <c r="CJ26" s="580">
        <f t="shared" si="27"/>
        <v>8000</v>
      </c>
      <c r="CK26" s="598">
        <f t="shared" si="27"/>
        <v>180</v>
      </c>
      <c r="CL26" s="579">
        <f t="shared" si="27"/>
        <v>0</v>
      </c>
      <c r="CM26" s="580">
        <f t="shared" si="27"/>
        <v>183500</v>
      </c>
      <c r="CN26" s="598">
        <f t="shared" si="27"/>
        <v>519525</v>
      </c>
      <c r="CO26" s="579">
        <f t="shared" si="27"/>
        <v>0</v>
      </c>
      <c r="CP26" s="580">
        <f t="shared" si="12"/>
        <v>1747175</v>
      </c>
      <c r="CQ26" s="598">
        <f t="shared" si="9"/>
        <v>1772416</v>
      </c>
      <c r="CR26" s="579">
        <f t="shared" si="10"/>
        <v>0</v>
      </c>
      <c r="CS26" s="580">
        <f t="shared" si="27"/>
        <v>0</v>
      </c>
      <c r="CT26" s="598">
        <f t="shared" si="27"/>
        <v>0</v>
      </c>
      <c r="CU26" s="579">
        <f t="shared" si="27"/>
        <v>0</v>
      </c>
      <c r="CV26" s="580">
        <f>SUM(CV27:CV29)</f>
        <v>0</v>
      </c>
      <c r="CW26" s="598">
        <f>SUM(CW27:CW29)</f>
        <v>0</v>
      </c>
      <c r="CX26" s="579">
        <f>SUM(CX27:CX29)</f>
        <v>0</v>
      </c>
      <c r="CY26" s="580">
        <f t="shared" si="27"/>
        <v>0</v>
      </c>
      <c r="CZ26" s="598">
        <f t="shared" si="27"/>
        <v>0</v>
      </c>
      <c r="DA26" s="579">
        <f t="shared" si="27"/>
        <v>0</v>
      </c>
      <c r="DB26" s="580">
        <f t="shared" si="27"/>
        <v>0</v>
      </c>
      <c r="DC26" s="591">
        <f t="shared" si="27"/>
        <v>0</v>
      </c>
      <c r="DD26" s="579">
        <f t="shared" si="27"/>
        <v>0</v>
      </c>
      <c r="DE26" s="580">
        <f aca="true" t="shared" si="28" ref="DE26:DL26">SUM(DE27:DE29)</f>
        <v>0</v>
      </c>
      <c r="DF26" s="594">
        <f t="shared" si="28"/>
        <v>0</v>
      </c>
      <c r="DG26" s="370">
        <f t="shared" si="28"/>
        <v>0</v>
      </c>
      <c r="DH26" s="580">
        <f t="shared" si="28"/>
        <v>0</v>
      </c>
      <c r="DI26" s="591">
        <f t="shared" si="28"/>
        <v>0</v>
      </c>
      <c r="DJ26" s="579">
        <f t="shared" si="28"/>
        <v>0</v>
      </c>
      <c r="DK26" s="580">
        <f t="shared" si="28"/>
        <v>0</v>
      </c>
      <c r="DL26" s="591">
        <f t="shared" si="28"/>
        <v>0</v>
      </c>
      <c r="DM26" s="579"/>
      <c r="DN26" s="580">
        <f aca="true" t="shared" si="29" ref="DN26:DN32">CP26+DE26+DH26+DK26</f>
        <v>1747175</v>
      </c>
      <c r="DO26" s="594">
        <f>CQ26+DF26+DI26+DL26</f>
        <v>1772416</v>
      </c>
      <c r="DP26" s="370">
        <f>CR26+DG26+DJ26+DM26</f>
        <v>0</v>
      </c>
      <c r="DQ26" s="371">
        <f t="shared" si="13"/>
        <v>0</v>
      </c>
    </row>
    <row r="27" spans="1:121" ht="24.75" customHeight="1">
      <c r="A27" s="701" t="s">
        <v>991</v>
      </c>
      <c r="B27" s="1275" t="s">
        <v>958</v>
      </c>
      <c r="C27" s="1276">
        <v>592119</v>
      </c>
      <c r="D27" s="582"/>
      <c r="E27" s="417"/>
      <c r="F27" s="581"/>
      <c r="G27" s="582"/>
      <c r="H27" s="417"/>
      <c r="I27" s="581"/>
      <c r="J27" s="582"/>
      <c r="K27" s="417"/>
      <c r="L27" s="581"/>
      <c r="M27" s="582"/>
      <c r="N27" s="417"/>
      <c r="O27" s="581"/>
      <c r="P27" s="582"/>
      <c r="Q27" s="417"/>
      <c r="R27" s="581"/>
      <c r="S27" s="582"/>
      <c r="T27" s="417"/>
      <c r="U27" s="581"/>
      <c r="V27" s="582"/>
      <c r="W27" s="417"/>
      <c r="X27" s="581"/>
      <c r="Y27" s="582"/>
      <c r="Z27" s="599"/>
      <c r="AA27" s="581"/>
      <c r="AB27" s="582"/>
      <c r="AC27" s="599"/>
      <c r="AD27" s="581"/>
      <c r="AE27" s="639"/>
      <c r="AF27" s="1950"/>
      <c r="AG27" s="1951"/>
      <c r="AH27" s="582"/>
      <c r="AI27" s="599"/>
      <c r="AJ27" s="581"/>
      <c r="AK27" s="582"/>
      <c r="AL27" s="599"/>
      <c r="AM27" s="581"/>
      <c r="AN27" s="582"/>
      <c r="AO27" s="599"/>
      <c r="AP27" s="581"/>
      <c r="AQ27" s="582"/>
      <c r="AR27" s="599"/>
      <c r="AS27" s="581"/>
      <c r="AT27" s="582"/>
      <c r="AU27" s="599"/>
      <c r="AV27" s="581"/>
      <c r="AW27" s="582"/>
      <c r="AX27" s="599"/>
      <c r="AY27" s="581"/>
      <c r="AZ27" s="582"/>
      <c r="BA27" s="599"/>
      <c r="BB27" s="581"/>
      <c r="BC27" s="582">
        <v>25000</v>
      </c>
      <c r="BD27" s="599">
        <v>25000</v>
      </c>
      <c r="BE27" s="581"/>
      <c r="BF27" s="582"/>
      <c r="BG27" s="599"/>
      <c r="BH27" s="581"/>
      <c r="BI27" s="582">
        <f aca="true" t="shared" si="30" ref="BI27:BK31">D27+G27+J27+M27+P27+S27+V27+Y27+AB27+AE27+AH27+AK27+AN27+AQ27+AT27+AW27+AZ27+BC27+BF27</f>
        <v>25000</v>
      </c>
      <c r="BJ27" s="599">
        <f t="shared" si="30"/>
        <v>25000</v>
      </c>
      <c r="BK27" s="581">
        <f t="shared" si="30"/>
        <v>0</v>
      </c>
      <c r="BL27" s="582"/>
      <c r="BM27" s="599"/>
      <c r="BN27" s="581"/>
      <c r="BO27" s="582"/>
      <c r="BP27" s="599"/>
      <c r="BQ27" s="581"/>
      <c r="BR27" s="582"/>
      <c r="BS27" s="599"/>
      <c r="BT27" s="581"/>
      <c r="BU27" s="582"/>
      <c r="BV27" s="599"/>
      <c r="BW27" s="581"/>
      <c r="BX27" s="582"/>
      <c r="BY27" s="599"/>
      <c r="BZ27" s="581"/>
      <c r="CA27" s="582"/>
      <c r="CB27" s="599"/>
      <c r="CC27" s="581"/>
      <c r="CD27" s="582">
        <v>100000</v>
      </c>
      <c r="CE27" s="599">
        <v>79667</v>
      </c>
      <c r="CF27" s="581"/>
      <c r="CG27" s="582"/>
      <c r="CH27" s="599"/>
      <c r="CI27" s="581"/>
      <c r="CJ27" s="582">
        <v>8000</v>
      </c>
      <c r="CK27" s="599">
        <v>180</v>
      </c>
      <c r="CL27" s="581"/>
      <c r="CM27" s="582">
        <f aca="true" t="shared" si="31" ref="CM27:CO31">BL27+BO27+BR27+BU27+BX27+CA27+CD27+CG27+CJ27</f>
        <v>108000</v>
      </c>
      <c r="CN27" s="599">
        <f t="shared" si="31"/>
        <v>79847</v>
      </c>
      <c r="CO27" s="581">
        <f t="shared" si="31"/>
        <v>0</v>
      </c>
      <c r="CP27" s="582">
        <f t="shared" si="12"/>
        <v>133000</v>
      </c>
      <c r="CQ27" s="599">
        <f t="shared" si="9"/>
        <v>104847</v>
      </c>
      <c r="CR27" s="581">
        <f t="shared" si="10"/>
        <v>0</v>
      </c>
      <c r="CS27" s="582"/>
      <c r="CT27" s="599"/>
      <c r="CU27" s="581"/>
      <c r="CV27" s="582"/>
      <c r="CW27" s="599"/>
      <c r="CX27" s="581"/>
      <c r="CY27" s="582"/>
      <c r="CZ27" s="599"/>
      <c r="DA27" s="581"/>
      <c r="DB27" s="582"/>
      <c r="DC27" s="592"/>
      <c r="DD27" s="581"/>
      <c r="DE27" s="582">
        <f aca="true" t="shared" si="32" ref="DE27:DF31">CS27+CV27+CY27+DB27</f>
        <v>0</v>
      </c>
      <c r="DF27" s="418">
        <f t="shared" si="32"/>
        <v>0</v>
      </c>
      <c r="DG27" s="417">
        <f>CU27+CX27+DA27+DD27</f>
        <v>0</v>
      </c>
      <c r="DH27" s="582"/>
      <c r="DI27" s="592"/>
      <c r="DJ27" s="581"/>
      <c r="DK27" s="582"/>
      <c r="DL27" s="592"/>
      <c r="DM27" s="581"/>
      <c r="DN27" s="582">
        <f t="shared" si="29"/>
        <v>133000</v>
      </c>
      <c r="DO27" s="418">
        <f aca="true" t="shared" si="33" ref="DO27:DO32">CQ27+DF27+DI27+DL27</f>
        <v>104847</v>
      </c>
      <c r="DP27" s="417">
        <f aca="true" t="shared" si="34" ref="DP27:DP32">CR27+DG27+DJ27+DM27</f>
        <v>0</v>
      </c>
      <c r="DQ27" s="684">
        <f t="shared" si="13"/>
        <v>0</v>
      </c>
    </row>
    <row r="28" spans="1:121" ht="24.75" customHeight="1">
      <c r="A28" s="701" t="s">
        <v>992</v>
      </c>
      <c r="B28" s="1275" t="s">
        <v>959</v>
      </c>
      <c r="C28" s="1276">
        <v>592122</v>
      </c>
      <c r="D28" s="582"/>
      <c r="E28" s="417"/>
      <c r="F28" s="581"/>
      <c r="G28" s="582"/>
      <c r="H28" s="417"/>
      <c r="I28" s="581"/>
      <c r="J28" s="582"/>
      <c r="K28" s="417"/>
      <c r="L28" s="581"/>
      <c r="M28" s="582"/>
      <c r="N28" s="417"/>
      <c r="O28" s="581"/>
      <c r="P28" s="582"/>
      <c r="Q28" s="417"/>
      <c r="R28" s="581"/>
      <c r="S28" s="582"/>
      <c r="T28" s="417"/>
      <c r="U28" s="581"/>
      <c r="V28" s="582"/>
      <c r="W28" s="417"/>
      <c r="X28" s="581"/>
      <c r="Y28" s="582"/>
      <c r="Z28" s="599"/>
      <c r="AA28" s="581"/>
      <c r="AB28" s="582"/>
      <c r="AC28" s="599"/>
      <c r="AD28" s="581"/>
      <c r="AE28" s="582"/>
      <c r="AF28" s="417"/>
      <c r="AG28" s="638"/>
      <c r="AH28" s="582"/>
      <c r="AI28" s="599"/>
      <c r="AJ28" s="581"/>
      <c r="AK28" s="582"/>
      <c r="AL28" s="599"/>
      <c r="AM28" s="581"/>
      <c r="AN28" s="582"/>
      <c r="AO28" s="599"/>
      <c r="AP28" s="581"/>
      <c r="AQ28" s="582"/>
      <c r="AR28" s="599"/>
      <c r="AS28" s="581"/>
      <c r="AT28" s="582"/>
      <c r="AU28" s="599"/>
      <c r="AV28" s="581"/>
      <c r="AW28" s="582"/>
      <c r="AX28" s="599"/>
      <c r="AY28" s="581"/>
      <c r="AZ28" s="582"/>
      <c r="BA28" s="599"/>
      <c r="BB28" s="581"/>
      <c r="BC28" s="582">
        <v>254500</v>
      </c>
      <c r="BD28" s="599">
        <v>102074</v>
      </c>
      <c r="BE28" s="581"/>
      <c r="BF28" s="582"/>
      <c r="BG28" s="599"/>
      <c r="BH28" s="581"/>
      <c r="BI28" s="582">
        <f t="shared" si="30"/>
        <v>254500</v>
      </c>
      <c r="BJ28" s="599">
        <f t="shared" si="30"/>
        <v>102074</v>
      </c>
      <c r="BK28" s="581">
        <f t="shared" si="30"/>
        <v>0</v>
      </c>
      <c r="BL28" s="582"/>
      <c r="BM28" s="599"/>
      <c r="BN28" s="581"/>
      <c r="BO28" s="582"/>
      <c r="BP28" s="599"/>
      <c r="BQ28" s="581"/>
      <c r="BR28" s="582"/>
      <c r="BS28" s="599"/>
      <c r="BT28" s="581"/>
      <c r="BU28" s="582"/>
      <c r="BV28" s="599"/>
      <c r="BW28" s="581"/>
      <c r="BX28" s="582"/>
      <c r="BY28" s="599"/>
      <c r="BZ28" s="581"/>
      <c r="CA28" s="582"/>
      <c r="CB28" s="599"/>
      <c r="CC28" s="581"/>
      <c r="CD28" s="582">
        <v>9500</v>
      </c>
      <c r="CE28" s="599">
        <v>1000</v>
      </c>
      <c r="CF28" s="581"/>
      <c r="CG28" s="582"/>
      <c r="CH28" s="599"/>
      <c r="CI28" s="581"/>
      <c r="CJ28" s="582"/>
      <c r="CK28" s="599"/>
      <c r="CL28" s="581"/>
      <c r="CM28" s="582">
        <f t="shared" si="31"/>
        <v>9500</v>
      </c>
      <c r="CN28" s="599">
        <f t="shared" si="31"/>
        <v>1000</v>
      </c>
      <c r="CO28" s="581">
        <f t="shared" si="31"/>
        <v>0</v>
      </c>
      <c r="CP28" s="582">
        <f t="shared" si="12"/>
        <v>264000</v>
      </c>
      <c r="CQ28" s="599">
        <f t="shared" si="9"/>
        <v>103074</v>
      </c>
      <c r="CR28" s="581">
        <f t="shared" si="10"/>
        <v>0</v>
      </c>
      <c r="CS28" s="582"/>
      <c r="CT28" s="599"/>
      <c r="CU28" s="581"/>
      <c r="CV28" s="582"/>
      <c r="CW28" s="599"/>
      <c r="CX28" s="581"/>
      <c r="CY28" s="582"/>
      <c r="CZ28" s="599"/>
      <c r="DA28" s="581"/>
      <c r="DB28" s="582"/>
      <c r="DC28" s="592"/>
      <c r="DD28" s="581"/>
      <c r="DE28" s="582">
        <f t="shared" si="32"/>
        <v>0</v>
      </c>
      <c r="DF28" s="418">
        <f t="shared" si="32"/>
        <v>0</v>
      </c>
      <c r="DG28" s="417">
        <f>CU28+CX28+DA28+DD28</f>
        <v>0</v>
      </c>
      <c r="DH28" s="582"/>
      <c r="DI28" s="592"/>
      <c r="DJ28" s="581"/>
      <c r="DK28" s="582"/>
      <c r="DL28" s="592"/>
      <c r="DM28" s="581"/>
      <c r="DN28" s="582">
        <f t="shared" si="29"/>
        <v>264000</v>
      </c>
      <c r="DO28" s="418">
        <f t="shared" si="33"/>
        <v>103074</v>
      </c>
      <c r="DP28" s="417">
        <f t="shared" si="34"/>
        <v>0</v>
      </c>
      <c r="DQ28" s="684">
        <f aca="true" t="shared" si="35" ref="DQ28:DQ34">DP28/DO28*100</f>
        <v>0</v>
      </c>
    </row>
    <row r="29" spans="1:121" ht="24.75" customHeight="1">
      <c r="A29" s="701" t="s">
        <v>993</v>
      </c>
      <c r="B29" s="1275" t="s">
        <v>960</v>
      </c>
      <c r="C29" s="1276">
        <v>592123</v>
      </c>
      <c r="D29" s="582"/>
      <c r="E29" s="417"/>
      <c r="F29" s="581"/>
      <c r="G29" s="582"/>
      <c r="H29" s="417">
        <v>200000</v>
      </c>
      <c r="I29" s="581"/>
      <c r="J29" s="582"/>
      <c r="K29" s="417"/>
      <c r="L29" s="581"/>
      <c r="M29" s="582"/>
      <c r="N29" s="417"/>
      <c r="O29" s="581"/>
      <c r="P29" s="582"/>
      <c r="Q29" s="417"/>
      <c r="R29" s="581"/>
      <c r="S29" s="582"/>
      <c r="T29" s="417"/>
      <c r="U29" s="581"/>
      <c r="V29" s="582">
        <v>31550</v>
      </c>
      <c r="W29" s="417">
        <v>10681</v>
      </c>
      <c r="X29" s="581"/>
      <c r="Y29" s="582"/>
      <c r="Z29" s="599"/>
      <c r="AA29" s="581"/>
      <c r="AB29" s="582"/>
      <c r="AC29" s="599"/>
      <c r="AD29" s="581"/>
      <c r="AE29" s="640"/>
      <c r="AF29" s="641">
        <v>0</v>
      </c>
      <c r="AG29" s="638"/>
      <c r="AH29" s="582"/>
      <c r="AI29" s="599"/>
      <c r="AJ29" s="581"/>
      <c r="AK29" s="582"/>
      <c r="AL29" s="599"/>
      <c r="AM29" s="581"/>
      <c r="AN29" s="582"/>
      <c r="AO29" s="599">
        <v>90000</v>
      </c>
      <c r="AP29" s="581"/>
      <c r="AQ29" s="582"/>
      <c r="AR29" s="599">
        <v>40000</v>
      </c>
      <c r="AS29" s="581"/>
      <c r="AT29" s="582"/>
      <c r="AU29" s="599"/>
      <c r="AV29" s="581"/>
      <c r="AW29" s="582"/>
      <c r="AX29" s="599"/>
      <c r="AY29" s="581"/>
      <c r="AZ29" s="582"/>
      <c r="BA29" s="599"/>
      <c r="BB29" s="581"/>
      <c r="BC29" s="582">
        <v>1250000</v>
      </c>
      <c r="BD29" s="599">
        <v>722658</v>
      </c>
      <c r="BE29" s="581"/>
      <c r="BF29" s="582">
        <v>2625</v>
      </c>
      <c r="BG29" s="599">
        <v>62478</v>
      </c>
      <c r="BH29" s="581"/>
      <c r="BI29" s="582">
        <f t="shared" si="30"/>
        <v>1284175</v>
      </c>
      <c r="BJ29" s="599">
        <f t="shared" si="30"/>
        <v>1125817</v>
      </c>
      <c r="BK29" s="581">
        <f t="shared" si="30"/>
        <v>0</v>
      </c>
      <c r="BL29" s="582"/>
      <c r="BM29" s="599"/>
      <c r="BN29" s="581"/>
      <c r="BO29" s="582"/>
      <c r="BP29" s="599"/>
      <c r="BQ29" s="581"/>
      <c r="BR29" s="582"/>
      <c r="BS29" s="599"/>
      <c r="BT29" s="581"/>
      <c r="BU29" s="582"/>
      <c r="BV29" s="599"/>
      <c r="BW29" s="581"/>
      <c r="BX29" s="582"/>
      <c r="BY29" s="599"/>
      <c r="BZ29" s="581"/>
      <c r="CA29" s="582"/>
      <c r="CB29" s="599"/>
      <c r="CC29" s="581"/>
      <c r="CD29" s="582">
        <v>66000</v>
      </c>
      <c r="CE29" s="599">
        <v>438678</v>
      </c>
      <c r="CF29" s="581"/>
      <c r="CG29" s="582"/>
      <c r="CH29" s="599"/>
      <c r="CI29" s="581"/>
      <c r="CJ29" s="582"/>
      <c r="CK29" s="599"/>
      <c r="CL29" s="581"/>
      <c r="CM29" s="582">
        <f t="shared" si="31"/>
        <v>66000</v>
      </c>
      <c r="CN29" s="599">
        <f t="shared" si="31"/>
        <v>438678</v>
      </c>
      <c r="CO29" s="581">
        <f t="shared" si="31"/>
        <v>0</v>
      </c>
      <c r="CP29" s="582">
        <f t="shared" si="12"/>
        <v>1350175</v>
      </c>
      <c r="CQ29" s="599">
        <f t="shared" si="9"/>
        <v>1564495</v>
      </c>
      <c r="CR29" s="581">
        <f t="shared" si="10"/>
        <v>0</v>
      </c>
      <c r="CS29" s="582"/>
      <c r="CT29" s="599"/>
      <c r="CU29" s="581"/>
      <c r="CV29" s="582"/>
      <c r="CW29" s="599"/>
      <c r="CX29" s="581"/>
      <c r="CY29" s="582"/>
      <c r="CZ29" s="599"/>
      <c r="DA29" s="581"/>
      <c r="DB29" s="582"/>
      <c r="DC29" s="592"/>
      <c r="DD29" s="581"/>
      <c r="DE29" s="582">
        <f t="shared" si="32"/>
        <v>0</v>
      </c>
      <c r="DF29" s="418">
        <f t="shared" si="32"/>
        <v>0</v>
      </c>
      <c r="DG29" s="417">
        <f>CU29+CX29+DA29+DD29</f>
        <v>0</v>
      </c>
      <c r="DH29" s="582"/>
      <c r="DI29" s="592"/>
      <c r="DJ29" s="581"/>
      <c r="DK29" s="582"/>
      <c r="DL29" s="592"/>
      <c r="DM29" s="581"/>
      <c r="DN29" s="582">
        <f t="shared" si="29"/>
        <v>1350175</v>
      </c>
      <c r="DO29" s="418">
        <f t="shared" si="33"/>
        <v>1564495</v>
      </c>
      <c r="DP29" s="417">
        <f t="shared" si="34"/>
        <v>0</v>
      </c>
      <c r="DQ29" s="684">
        <f t="shared" si="35"/>
        <v>0</v>
      </c>
    </row>
    <row r="30" spans="1:121" ht="30" customHeight="1">
      <c r="A30" s="699" t="s">
        <v>160</v>
      </c>
      <c r="B30" s="1265" t="s">
        <v>961</v>
      </c>
      <c r="C30" s="1273" t="s">
        <v>891</v>
      </c>
      <c r="D30" s="1277"/>
      <c r="E30" s="370"/>
      <c r="F30" s="579"/>
      <c r="G30" s="580"/>
      <c r="H30" s="370"/>
      <c r="I30" s="579"/>
      <c r="J30" s="580"/>
      <c r="K30" s="370"/>
      <c r="L30" s="579"/>
      <c r="M30" s="580"/>
      <c r="N30" s="370"/>
      <c r="O30" s="579"/>
      <c r="P30" s="580"/>
      <c r="Q30" s="370"/>
      <c r="R30" s="579"/>
      <c r="S30" s="580"/>
      <c r="T30" s="370"/>
      <c r="U30" s="579"/>
      <c r="V30" s="580"/>
      <c r="W30" s="370"/>
      <c r="X30" s="579"/>
      <c r="Y30" s="580"/>
      <c r="Z30" s="598"/>
      <c r="AA30" s="579"/>
      <c r="AB30" s="580"/>
      <c r="AC30" s="598"/>
      <c r="AD30" s="579"/>
      <c r="AE30" s="580"/>
      <c r="AF30" s="598"/>
      <c r="AG30" s="579"/>
      <c r="AH30" s="580">
        <v>26670</v>
      </c>
      <c r="AI30" s="598">
        <v>20158</v>
      </c>
      <c r="AJ30" s="579">
        <v>8119.676</v>
      </c>
      <c r="AK30" s="580"/>
      <c r="AL30" s="598"/>
      <c r="AM30" s="579"/>
      <c r="AN30" s="580"/>
      <c r="AO30" s="598"/>
      <c r="AP30" s="579"/>
      <c r="AQ30" s="580"/>
      <c r="AR30" s="598"/>
      <c r="AS30" s="579"/>
      <c r="AT30" s="580"/>
      <c r="AU30" s="598"/>
      <c r="AV30" s="579"/>
      <c r="AW30" s="580"/>
      <c r="AX30" s="598">
        <v>35617</v>
      </c>
      <c r="AY30" s="579">
        <v>34952.526</v>
      </c>
      <c r="AZ30" s="580"/>
      <c r="BA30" s="598"/>
      <c r="BB30" s="579"/>
      <c r="BC30" s="580"/>
      <c r="BD30" s="598"/>
      <c r="BE30" s="579"/>
      <c r="BF30" s="580"/>
      <c r="BG30" s="598">
        <v>1351</v>
      </c>
      <c r="BH30" s="579">
        <v>1350.561</v>
      </c>
      <c r="BI30" s="580">
        <f t="shared" si="30"/>
        <v>26670</v>
      </c>
      <c r="BJ30" s="598">
        <f t="shared" si="30"/>
        <v>57126</v>
      </c>
      <c r="BK30" s="579">
        <f t="shared" si="30"/>
        <v>44422.763</v>
      </c>
      <c r="BL30" s="580"/>
      <c r="BM30" s="598"/>
      <c r="BN30" s="579"/>
      <c r="BO30" s="580"/>
      <c r="BP30" s="598"/>
      <c r="BQ30" s="579"/>
      <c r="BR30" s="580"/>
      <c r="BS30" s="598"/>
      <c r="BT30" s="579"/>
      <c r="BU30" s="580"/>
      <c r="BV30" s="598"/>
      <c r="BW30" s="579"/>
      <c r="BX30" s="580"/>
      <c r="BY30" s="598"/>
      <c r="BZ30" s="579"/>
      <c r="CA30" s="580"/>
      <c r="CB30" s="598"/>
      <c r="CC30" s="579"/>
      <c r="CD30" s="580"/>
      <c r="CE30" s="598"/>
      <c r="CF30" s="579"/>
      <c r="CG30" s="580"/>
      <c r="CH30" s="598"/>
      <c r="CI30" s="579"/>
      <c r="CJ30" s="580"/>
      <c r="CK30" s="598"/>
      <c r="CL30" s="579"/>
      <c r="CM30" s="580">
        <f t="shared" si="31"/>
        <v>0</v>
      </c>
      <c r="CN30" s="598">
        <f t="shared" si="31"/>
        <v>0</v>
      </c>
      <c r="CO30" s="579">
        <f t="shared" si="31"/>
        <v>0</v>
      </c>
      <c r="CP30" s="580">
        <f t="shared" si="12"/>
        <v>26670</v>
      </c>
      <c r="CQ30" s="598">
        <f t="shared" si="9"/>
        <v>57126</v>
      </c>
      <c r="CR30" s="579">
        <f t="shared" si="10"/>
        <v>44422.763</v>
      </c>
      <c r="CS30" s="580"/>
      <c r="CT30" s="598"/>
      <c r="CU30" s="579"/>
      <c r="CV30" s="580"/>
      <c r="CW30" s="598"/>
      <c r="CX30" s="579"/>
      <c r="CY30" s="580"/>
      <c r="CZ30" s="598"/>
      <c r="DA30" s="579"/>
      <c r="DB30" s="580">
        <v>1270</v>
      </c>
      <c r="DC30" s="591">
        <v>2106</v>
      </c>
      <c r="DD30" s="579">
        <v>1873</v>
      </c>
      <c r="DE30" s="580">
        <f t="shared" si="32"/>
        <v>1270</v>
      </c>
      <c r="DF30" s="594">
        <f t="shared" si="32"/>
        <v>2106</v>
      </c>
      <c r="DG30" s="370">
        <f>CU30+CX30+DA30+DD30</f>
        <v>1873</v>
      </c>
      <c r="DH30" s="580"/>
      <c r="DI30" s="591">
        <v>58523</v>
      </c>
      <c r="DJ30" s="579">
        <f>'6_sz_tábla K. '!M50</f>
        <v>51321</v>
      </c>
      <c r="DK30" s="580"/>
      <c r="DL30" s="591">
        <v>882</v>
      </c>
      <c r="DM30" s="579">
        <f>'INT_14_tábla '!E77</f>
        <v>417</v>
      </c>
      <c r="DN30" s="580">
        <f t="shared" si="29"/>
        <v>27940</v>
      </c>
      <c r="DO30" s="594">
        <f t="shared" si="33"/>
        <v>118637</v>
      </c>
      <c r="DP30" s="370">
        <f t="shared" si="34"/>
        <v>98033.763</v>
      </c>
      <c r="DQ30" s="371">
        <f t="shared" si="35"/>
        <v>82.63337997420705</v>
      </c>
    </row>
    <row r="31" spans="1:121" ht="30" customHeight="1">
      <c r="A31" s="703" t="s">
        <v>161</v>
      </c>
      <c r="B31" s="1278" t="s">
        <v>192</v>
      </c>
      <c r="C31" s="1279" t="s">
        <v>892</v>
      </c>
      <c r="D31" s="580">
        <v>577210</v>
      </c>
      <c r="E31" s="370">
        <f>1384667.535+0.4</f>
        <v>1384667.9349999998</v>
      </c>
      <c r="F31" s="579">
        <v>623972.033</v>
      </c>
      <c r="G31" s="580">
        <v>4763</v>
      </c>
      <c r="H31" s="370">
        <v>190988</v>
      </c>
      <c r="I31" s="579">
        <v>181654.526</v>
      </c>
      <c r="J31" s="580"/>
      <c r="K31" s="370">
        <v>3810</v>
      </c>
      <c r="L31" s="579">
        <v>3810</v>
      </c>
      <c r="M31" s="580"/>
      <c r="N31" s="370"/>
      <c r="O31" s="579"/>
      <c r="P31" s="580"/>
      <c r="Q31" s="370"/>
      <c r="R31" s="579"/>
      <c r="S31" s="580">
        <v>36195</v>
      </c>
      <c r="T31" s="370">
        <v>65833</v>
      </c>
      <c r="U31" s="579">
        <v>27969.722</v>
      </c>
      <c r="V31" s="580">
        <v>821193</v>
      </c>
      <c r="W31" s="370">
        <v>1050816</v>
      </c>
      <c r="X31" s="579">
        <v>741945.575</v>
      </c>
      <c r="Y31" s="580">
        <v>147804</v>
      </c>
      <c r="Z31" s="598">
        <v>212713</v>
      </c>
      <c r="AA31" s="579">
        <v>195147.80700000003</v>
      </c>
      <c r="AB31" s="580"/>
      <c r="AC31" s="598"/>
      <c r="AD31" s="579"/>
      <c r="AE31" s="580"/>
      <c r="AF31" s="598"/>
      <c r="AG31" s="579"/>
      <c r="AH31" s="580"/>
      <c r="AI31" s="598"/>
      <c r="AJ31" s="579"/>
      <c r="AK31" s="580"/>
      <c r="AL31" s="598"/>
      <c r="AM31" s="579"/>
      <c r="AN31" s="580"/>
      <c r="AO31" s="598">
        <v>6096</v>
      </c>
      <c r="AP31" s="579"/>
      <c r="AQ31" s="580"/>
      <c r="AR31" s="598"/>
      <c r="AS31" s="579"/>
      <c r="AT31" s="580"/>
      <c r="AU31" s="598"/>
      <c r="AV31" s="579"/>
      <c r="AW31" s="580">
        <v>7643</v>
      </c>
      <c r="AX31" s="598">
        <v>51098</v>
      </c>
      <c r="AY31" s="579">
        <v>43739.784999999996</v>
      </c>
      <c r="AZ31" s="580"/>
      <c r="BA31" s="598"/>
      <c r="BB31" s="579"/>
      <c r="BC31" s="580">
        <v>14886</v>
      </c>
      <c r="BD31" s="598">
        <v>10339.681</v>
      </c>
      <c r="BE31" s="579"/>
      <c r="BF31" s="580">
        <v>38100</v>
      </c>
      <c r="BG31" s="598">
        <v>39410</v>
      </c>
      <c r="BH31" s="579">
        <v>33775.013</v>
      </c>
      <c r="BI31" s="580">
        <f t="shared" si="30"/>
        <v>1647794</v>
      </c>
      <c r="BJ31" s="598">
        <f t="shared" si="30"/>
        <v>3015771.6159999995</v>
      </c>
      <c r="BK31" s="579">
        <f t="shared" si="30"/>
        <v>1852014.4610000001</v>
      </c>
      <c r="BL31" s="580"/>
      <c r="BM31" s="598">
        <v>174</v>
      </c>
      <c r="BN31" s="579">
        <v>173.99</v>
      </c>
      <c r="BO31" s="580"/>
      <c r="BP31" s="598">
        <v>10000</v>
      </c>
      <c r="BQ31" s="579">
        <v>9945</v>
      </c>
      <c r="BR31" s="580"/>
      <c r="BS31" s="598"/>
      <c r="BT31" s="579"/>
      <c r="BU31" s="580"/>
      <c r="BV31" s="598">
        <v>28023</v>
      </c>
      <c r="BW31" s="579">
        <v>9398</v>
      </c>
      <c r="BX31" s="580">
        <v>5080</v>
      </c>
      <c r="BY31" s="598">
        <v>5080</v>
      </c>
      <c r="BZ31" s="579"/>
      <c r="CA31" s="580">
        <v>31750</v>
      </c>
      <c r="CB31" s="598">
        <v>45988</v>
      </c>
      <c r="CC31" s="579">
        <f>44701.856-0.1</f>
        <v>44701.756</v>
      </c>
      <c r="CD31" s="580"/>
      <c r="CE31" s="598">
        <v>10336</v>
      </c>
      <c r="CF31" s="579">
        <f>10035.988-0.3</f>
        <v>10035.688</v>
      </c>
      <c r="CG31" s="580"/>
      <c r="CH31" s="598"/>
      <c r="CI31" s="579"/>
      <c r="CJ31" s="580"/>
      <c r="CK31" s="598"/>
      <c r="CL31" s="579"/>
      <c r="CM31" s="580">
        <f t="shared" si="31"/>
        <v>36830</v>
      </c>
      <c r="CN31" s="598">
        <f t="shared" si="31"/>
        <v>99601</v>
      </c>
      <c r="CO31" s="579">
        <f t="shared" si="31"/>
        <v>74254.434</v>
      </c>
      <c r="CP31" s="580">
        <f t="shared" si="12"/>
        <v>1684624</v>
      </c>
      <c r="CQ31" s="598">
        <f aca="true" t="shared" si="36" ref="CQ31:CQ42">BJ31+CN31</f>
        <v>3115372.6159999995</v>
      </c>
      <c r="CR31" s="579">
        <f t="shared" si="10"/>
        <v>1926268.895</v>
      </c>
      <c r="CS31" s="580"/>
      <c r="CT31" s="598"/>
      <c r="CU31" s="579"/>
      <c r="CV31" s="580"/>
      <c r="CW31" s="598"/>
      <c r="CX31" s="579"/>
      <c r="CY31" s="580"/>
      <c r="CZ31" s="598"/>
      <c r="DA31" s="579"/>
      <c r="DB31" s="580">
        <v>76902</v>
      </c>
      <c r="DC31" s="591">
        <v>157617</v>
      </c>
      <c r="DD31" s="579">
        <v>70039.80200000001</v>
      </c>
      <c r="DE31" s="580">
        <f t="shared" si="32"/>
        <v>76902</v>
      </c>
      <c r="DF31" s="594">
        <f t="shared" si="32"/>
        <v>157617</v>
      </c>
      <c r="DG31" s="370">
        <f>CU31+CX31+DA31+DD31</f>
        <v>70039.80200000001</v>
      </c>
      <c r="DH31" s="580">
        <v>14530</v>
      </c>
      <c r="DI31" s="591">
        <v>93912</v>
      </c>
      <c r="DJ31" s="579">
        <f>'6_sz_tábla K. '!L50</f>
        <v>75296</v>
      </c>
      <c r="DK31" s="580"/>
      <c r="DL31" s="591">
        <v>22177</v>
      </c>
      <c r="DM31" s="579">
        <f>INT_15_tábla!E79</f>
        <v>12048</v>
      </c>
      <c r="DN31" s="580">
        <f t="shared" si="29"/>
        <v>1776056</v>
      </c>
      <c r="DO31" s="594">
        <f t="shared" si="33"/>
        <v>3389078.6159999995</v>
      </c>
      <c r="DP31" s="370">
        <f t="shared" si="34"/>
        <v>2083652.697</v>
      </c>
      <c r="DQ31" s="371">
        <f t="shared" si="35"/>
        <v>61.4813916432324</v>
      </c>
    </row>
    <row r="32" spans="1:121" ht="30" customHeight="1">
      <c r="A32" s="703" t="s">
        <v>162</v>
      </c>
      <c r="B32" s="1265" t="s">
        <v>810</v>
      </c>
      <c r="C32" s="1265"/>
      <c r="D32" s="580">
        <f>SUM(D33:D34)</f>
        <v>0</v>
      </c>
      <c r="E32" s="370">
        <f aca="true" t="shared" si="37" ref="E32:BL32">SUM(E33:E34)</f>
        <v>0</v>
      </c>
      <c r="F32" s="579">
        <f t="shared" si="37"/>
        <v>0</v>
      </c>
      <c r="G32" s="580">
        <f t="shared" si="37"/>
        <v>0</v>
      </c>
      <c r="H32" s="370">
        <f t="shared" si="37"/>
        <v>0</v>
      </c>
      <c r="I32" s="579">
        <f t="shared" si="37"/>
        <v>0</v>
      </c>
      <c r="J32" s="580">
        <f t="shared" si="37"/>
        <v>0</v>
      </c>
      <c r="K32" s="370">
        <f t="shared" si="37"/>
        <v>0</v>
      </c>
      <c r="L32" s="579">
        <f t="shared" si="37"/>
        <v>0</v>
      </c>
      <c r="M32" s="580">
        <f t="shared" si="37"/>
        <v>0</v>
      </c>
      <c r="N32" s="370">
        <f t="shared" si="37"/>
        <v>0</v>
      </c>
      <c r="O32" s="579">
        <f t="shared" si="37"/>
        <v>0</v>
      </c>
      <c r="P32" s="580">
        <f t="shared" si="37"/>
        <v>0</v>
      </c>
      <c r="Q32" s="370">
        <f t="shared" si="37"/>
        <v>0</v>
      </c>
      <c r="R32" s="579">
        <f t="shared" si="37"/>
        <v>0</v>
      </c>
      <c r="S32" s="580">
        <f t="shared" si="37"/>
        <v>0</v>
      </c>
      <c r="T32" s="370">
        <f t="shared" si="37"/>
        <v>0</v>
      </c>
      <c r="U32" s="579">
        <f t="shared" si="37"/>
        <v>0</v>
      </c>
      <c r="V32" s="580">
        <f t="shared" si="37"/>
        <v>0</v>
      </c>
      <c r="W32" s="370">
        <f t="shared" si="37"/>
        <v>0</v>
      </c>
      <c r="X32" s="579">
        <f t="shared" si="37"/>
        <v>0</v>
      </c>
      <c r="Y32" s="580">
        <f t="shared" si="37"/>
        <v>200</v>
      </c>
      <c r="Z32" s="598">
        <f t="shared" si="37"/>
        <v>200</v>
      </c>
      <c r="AA32" s="579">
        <f t="shared" si="37"/>
        <v>0</v>
      </c>
      <c r="AB32" s="580">
        <f t="shared" si="37"/>
        <v>0</v>
      </c>
      <c r="AC32" s="598">
        <f t="shared" si="37"/>
        <v>0</v>
      </c>
      <c r="AD32" s="579">
        <f t="shared" si="37"/>
        <v>0</v>
      </c>
      <c r="AE32" s="580">
        <f t="shared" si="37"/>
        <v>0</v>
      </c>
      <c r="AF32" s="598">
        <f t="shared" si="37"/>
        <v>0</v>
      </c>
      <c r="AG32" s="579">
        <f t="shared" si="37"/>
        <v>0</v>
      </c>
      <c r="AH32" s="580">
        <f t="shared" si="37"/>
        <v>0</v>
      </c>
      <c r="AI32" s="598">
        <f t="shared" si="37"/>
        <v>0</v>
      </c>
      <c r="AJ32" s="579">
        <f t="shared" si="37"/>
        <v>0</v>
      </c>
      <c r="AK32" s="580">
        <f t="shared" si="37"/>
        <v>0</v>
      </c>
      <c r="AL32" s="598">
        <f t="shared" si="37"/>
        <v>0</v>
      </c>
      <c r="AM32" s="579">
        <f t="shared" si="37"/>
        <v>0</v>
      </c>
      <c r="AN32" s="580">
        <f t="shared" si="37"/>
        <v>0</v>
      </c>
      <c r="AO32" s="598">
        <f t="shared" si="37"/>
        <v>0</v>
      </c>
      <c r="AP32" s="579">
        <f t="shared" si="37"/>
        <v>0</v>
      </c>
      <c r="AQ32" s="580">
        <f t="shared" si="37"/>
        <v>0</v>
      </c>
      <c r="AR32" s="598">
        <f t="shared" si="37"/>
        <v>0</v>
      </c>
      <c r="AS32" s="579">
        <f t="shared" si="37"/>
        <v>0</v>
      </c>
      <c r="AT32" s="580">
        <f t="shared" si="37"/>
        <v>0</v>
      </c>
      <c r="AU32" s="598">
        <f t="shared" si="37"/>
        <v>0</v>
      </c>
      <c r="AV32" s="579">
        <f t="shared" si="37"/>
        <v>0</v>
      </c>
      <c r="AW32" s="580">
        <f t="shared" si="37"/>
        <v>0</v>
      </c>
      <c r="AX32" s="598">
        <f t="shared" si="37"/>
        <v>0</v>
      </c>
      <c r="AY32" s="579">
        <f t="shared" si="37"/>
        <v>0</v>
      </c>
      <c r="AZ32" s="580">
        <f t="shared" si="37"/>
        <v>0</v>
      </c>
      <c r="BA32" s="598">
        <f t="shared" si="37"/>
        <v>0</v>
      </c>
      <c r="BB32" s="579">
        <f t="shared" si="37"/>
        <v>0</v>
      </c>
      <c r="BC32" s="580">
        <f t="shared" si="37"/>
        <v>0</v>
      </c>
      <c r="BD32" s="598">
        <f t="shared" si="37"/>
        <v>0</v>
      </c>
      <c r="BE32" s="579">
        <f t="shared" si="37"/>
        <v>0</v>
      </c>
      <c r="BF32" s="580">
        <f t="shared" si="37"/>
        <v>0</v>
      </c>
      <c r="BG32" s="598">
        <f t="shared" si="37"/>
        <v>0</v>
      </c>
      <c r="BH32" s="579">
        <f t="shared" si="37"/>
        <v>0</v>
      </c>
      <c r="BI32" s="580">
        <f t="shared" si="37"/>
        <v>200</v>
      </c>
      <c r="BJ32" s="598">
        <f t="shared" si="37"/>
        <v>200</v>
      </c>
      <c r="BK32" s="579">
        <f t="shared" si="37"/>
        <v>0</v>
      </c>
      <c r="BL32" s="580">
        <f t="shared" si="37"/>
        <v>0</v>
      </c>
      <c r="BM32" s="598">
        <f aca="true" t="shared" si="38" ref="BM32:DD32">SUM(BM33:BM34)</f>
        <v>0</v>
      </c>
      <c r="BN32" s="579">
        <f t="shared" si="38"/>
        <v>0</v>
      </c>
      <c r="BO32" s="580">
        <f t="shared" si="38"/>
        <v>0</v>
      </c>
      <c r="BP32" s="598">
        <f t="shared" si="38"/>
        <v>0</v>
      </c>
      <c r="BQ32" s="579">
        <f t="shared" si="38"/>
        <v>0</v>
      </c>
      <c r="BR32" s="580">
        <f t="shared" si="38"/>
        <v>0</v>
      </c>
      <c r="BS32" s="598">
        <f t="shared" si="38"/>
        <v>0</v>
      </c>
      <c r="BT32" s="579">
        <f t="shared" si="38"/>
        <v>0</v>
      </c>
      <c r="BU32" s="580">
        <f t="shared" si="38"/>
        <v>0</v>
      </c>
      <c r="BV32" s="598">
        <f t="shared" si="38"/>
        <v>0</v>
      </c>
      <c r="BW32" s="579">
        <f t="shared" si="38"/>
        <v>0</v>
      </c>
      <c r="BX32" s="580">
        <f t="shared" si="38"/>
        <v>0</v>
      </c>
      <c r="BY32" s="598">
        <f t="shared" si="38"/>
        <v>0</v>
      </c>
      <c r="BZ32" s="579">
        <f t="shared" si="38"/>
        <v>0</v>
      </c>
      <c r="CA32" s="580">
        <f t="shared" si="38"/>
        <v>0</v>
      </c>
      <c r="CB32" s="598">
        <f t="shared" si="38"/>
        <v>0</v>
      </c>
      <c r="CC32" s="579">
        <f t="shared" si="38"/>
        <v>0</v>
      </c>
      <c r="CD32" s="580">
        <f t="shared" si="38"/>
        <v>0</v>
      </c>
      <c r="CE32" s="598">
        <f t="shared" si="38"/>
        <v>0</v>
      </c>
      <c r="CF32" s="579">
        <f t="shared" si="38"/>
        <v>0</v>
      </c>
      <c r="CG32" s="580">
        <f t="shared" si="38"/>
        <v>0</v>
      </c>
      <c r="CH32" s="598">
        <f t="shared" si="38"/>
        <v>0</v>
      </c>
      <c r="CI32" s="579">
        <f t="shared" si="38"/>
        <v>0</v>
      </c>
      <c r="CJ32" s="580">
        <f t="shared" si="38"/>
        <v>10000</v>
      </c>
      <c r="CK32" s="598">
        <f t="shared" si="38"/>
        <v>12000</v>
      </c>
      <c r="CL32" s="579">
        <f t="shared" si="38"/>
        <v>9360</v>
      </c>
      <c r="CM32" s="580">
        <f t="shared" si="38"/>
        <v>10000</v>
      </c>
      <c r="CN32" s="598">
        <f t="shared" si="38"/>
        <v>12000</v>
      </c>
      <c r="CO32" s="579">
        <f t="shared" si="38"/>
        <v>9360</v>
      </c>
      <c r="CP32" s="580">
        <f t="shared" si="12"/>
        <v>10200</v>
      </c>
      <c r="CQ32" s="598">
        <f t="shared" si="36"/>
        <v>12200</v>
      </c>
      <c r="CR32" s="579">
        <f t="shared" si="10"/>
        <v>9360</v>
      </c>
      <c r="CS32" s="580">
        <f t="shared" si="38"/>
        <v>0</v>
      </c>
      <c r="CT32" s="598">
        <f t="shared" si="38"/>
        <v>0</v>
      </c>
      <c r="CU32" s="579">
        <f t="shared" si="38"/>
        <v>0</v>
      </c>
      <c r="CV32" s="580">
        <f>SUM(CV33:CV34)</f>
        <v>0</v>
      </c>
      <c r="CW32" s="598">
        <f>SUM(CW33:CW34)</f>
        <v>0</v>
      </c>
      <c r="CX32" s="579">
        <f>SUM(CX33:CX34)</f>
        <v>0</v>
      </c>
      <c r="CY32" s="580">
        <f t="shared" si="38"/>
        <v>0</v>
      </c>
      <c r="CZ32" s="598">
        <f t="shared" si="38"/>
        <v>0</v>
      </c>
      <c r="DA32" s="579">
        <f t="shared" si="38"/>
        <v>0</v>
      </c>
      <c r="DB32" s="580">
        <f t="shared" si="38"/>
        <v>5000</v>
      </c>
      <c r="DC32" s="591">
        <f t="shared" si="38"/>
        <v>12807</v>
      </c>
      <c r="DD32" s="579">
        <f t="shared" si="38"/>
        <v>1000</v>
      </c>
      <c r="DE32" s="580">
        <f>SUM(DE33:DE34)</f>
        <v>5000</v>
      </c>
      <c r="DF32" s="594">
        <f>SUM(DF33:DF34)</f>
        <v>12807</v>
      </c>
      <c r="DG32" s="370">
        <f>SUM(DG33:DG34)</f>
        <v>1000</v>
      </c>
      <c r="DH32" s="580">
        <f aca="true" t="shared" si="39" ref="DH32:DM32">SUM(DH33:DH34)</f>
        <v>0</v>
      </c>
      <c r="DI32" s="591">
        <f t="shared" si="39"/>
        <v>0</v>
      </c>
      <c r="DJ32" s="579">
        <f t="shared" si="39"/>
        <v>0</v>
      </c>
      <c r="DK32" s="580">
        <f t="shared" si="39"/>
        <v>0</v>
      </c>
      <c r="DL32" s="591">
        <f t="shared" si="39"/>
        <v>0</v>
      </c>
      <c r="DM32" s="579">
        <f t="shared" si="39"/>
        <v>0</v>
      </c>
      <c r="DN32" s="580">
        <f t="shared" si="29"/>
        <v>15200</v>
      </c>
      <c r="DO32" s="594">
        <f t="shared" si="33"/>
        <v>25007</v>
      </c>
      <c r="DP32" s="370">
        <f t="shared" si="34"/>
        <v>10360</v>
      </c>
      <c r="DQ32" s="371">
        <f t="shared" si="35"/>
        <v>41.428400047986564</v>
      </c>
    </row>
    <row r="33" spans="1:121" ht="24.75" customHeight="1">
      <c r="A33" s="701" t="s">
        <v>1078</v>
      </c>
      <c r="B33" s="1275" t="s">
        <v>811</v>
      </c>
      <c r="C33" s="1276">
        <v>19324</v>
      </c>
      <c r="D33" s="582"/>
      <c r="E33" s="417"/>
      <c r="F33" s="581"/>
      <c r="G33" s="582"/>
      <c r="H33" s="417"/>
      <c r="I33" s="581"/>
      <c r="J33" s="582"/>
      <c r="K33" s="417"/>
      <c r="L33" s="581"/>
      <c r="M33" s="582"/>
      <c r="N33" s="417"/>
      <c r="O33" s="581"/>
      <c r="P33" s="582"/>
      <c r="Q33" s="417"/>
      <c r="R33" s="581"/>
      <c r="S33" s="582"/>
      <c r="T33" s="417"/>
      <c r="U33" s="581"/>
      <c r="V33" s="582"/>
      <c r="W33" s="417"/>
      <c r="X33" s="581"/>
      <c r="Y33" s="582">
        <v>200</v>
      </c>
      <c r="Z33" s="599">
        <v>200</v>
      </c>
      <c r="AA33" s="581"/>
      <c r="AB33" s="582"/>
      <c r="AC33" s="599"/>
      <c r="AD33" s="581"/>
      <c r="AE33" s="582"/>
      <c r="AF33" s="599"/>
      <c r="AG33" s="581"/>
      <c r="AH33" s="582"/>
      <c r="AI33" s="599"/>
      <c r="AJ33" s="581"/>
      <c r="AK33" s="582"/>
      <c r="AL33" s="599"/>
      <c r="AM33" s="581"/>
      <c r="AN33" s="582"/>
      <c r="AO33" s="599"/>
      <c r="AP33" s="581"/>
      <c r="AQ33" s="582"/>
      <c r="AR33" s="599"/>
      <c r="AS33" s="581"/>
      <c r="AT33" s="582"/>
      <c r="AU33" s="599"/>
      <c r="AV33" s="581"/>
      <c r="AW33" s="582"/>
      <c r="AX33" s="599"/>
      <c r="AY33" s="581"/>
      <c r="AZ33" s="582"/>
      <c r="BA33" s="599"/>
      <c r="BB33" s="581"/>
      <c r="BC33" s="582"/>
      <c r="BD33" s="599"/>
      <c r="BE33" s="581"/>
      <c r="BF33" s="582"/>
      <c r="BG33" s="599"/>
      <c r="BH33" s="581"/>
      <c r="BI33" s="582">
        <f aca="true" t="shared" si="40" ref="BI33:BK34">D33+G33+J33+M33+P33+S33+V33+Y33+AB33+AE33+AH33+AK33+AN33+AQ33+AT33+AW33+AZ33+BC33+BF33</f>
        <v>200</v>
      </c>
      <c r="BJ33" s="599">
        <f t="shared" si="40"/>
        <v>200</v>
      </c>
      <c r="BK33" s="581">
        <f t="shared" si="40"/>
        <v>0</v>
      </c>
      <c r="BL33" s="582"/>
      <c r="BM33" s="599"/>
      <c r="BN33" s="581"/>
      <c r="BO33" s="582"/>
      <c r="BP33" s="599"/>
      <c r="BQ33" s="581"/>
      <c r="BR33" s="582"/>
      <c r="BS33" s="599"/>
      <c r="BT33" s="581"/>
      <c r="BU33" s="582"/>
      <c r="BV33" s="599"/>
      <c r="BW33" s="581"/>
      <c r="BX33" s="582"/>
      <c r="BY33" s="599"/>
      <c r="BZ33" s="581"/>
      <c r="CA33" s="582"/>
      <c r="CB33" s="599"/>
      <c r="CC33" s="581"/>
      <c r="CD33" s="582"/>
      <c r="CE33" s="599"/>
      <c r="CF33" s="581"/>
      <c r="CG33" s="582"/>
      <c r="CH33" s="599"/>
      <c r="CI33" s="581"/>
      <c r="CJ33" s="582"/>
      <c r="CK33" s="599"/>
      <c r="CL33" s="581"/>
      <c r="CM33" s="582">
        <f aca="true" t="shared" si="41" ref="CM33:CO34">BL33+BO33+BR33+BU33+BX33+CA33+CD33+CG33+CJ33</f>
        <v>0</v>
      </c>
      <c r="CN33" s="599">
        <f t="shared" si="41"/>
        <v>0</v>
      </c>
      <c r="CO33" s="581">
        <f t="shared" si="41"/>
        <v>0</v>
      </c>
      <c r="CP33" s="602">
        <f t="shared" si="12"/>
        <v>200</v>
      </c>
      <c r="CQ33" s="603">
        <f t="shared" si="36"/>
        <v>200</v>
      </c>
      <c r="CR33" s="604">
        <f t="shared" si="10"/>
        <v>0</v>
      </c>
      <c r="CS33" s="582"/>
      <c r="CT33" s="599"/>
      <c r="CU33" s="581"/>
      <c r="CV33" s="582"/>
      <c r="CW33" s="599"/>
      <c r="CX33" s="581"/>
      <c r="CY33" s="582"/>
      <c r="CZ33" s="599"/>
      <c r="DA33" s="581"/>
      <c r="DB33" s="582"/>
      <c r="DC33" s="592"/>
      <c r="DD33" s="581"/>
      <c r="DE33" s="582">
        <f aca="true" t="shared" si="42" ref="DE33:DF37">CS33+CV33+CY33+DB33</f>
        <v>0</v>
      </c>
      <c r="DF33" s="418">
        <f t="shared" si="42"/>
        <v>0</v>
      </c>
      <c r="DG33" s="417">
        <f aca="true" t="shared" si="43" ref="DG33:DG39">CU33+CX33+DA33+DD33</f>
        <v>0</v>
      </c>
      <c r="DH33" s="582"/>
      <c r="DI33" s="592"/>
      <c r="DJ33" s="581"/>
      <c r="DK33" s="582"/>
      <c r="DL33" s="592"/>
      <c r="DM33" s="581"/>
      <c r="DN33" s="582">
        <f aca="true" t="shared" si="44" ref="DN33:DP35">CP33+DE33+DH33+DK33</f>
        <v>200</v>
      </c>
      <c r="DO33" s="418">
        <f t="shared" si="44"/>
        <v>200</v>
      </c>
      <c r="DP33" s="417">
        <f t="shared" si="44"/>
        <v>0</v>
      </c>
      <c r="DQ33" s="684">
        <f t="shared" si="35"/>
        <v>0</v>
      </c>
    </row>
    <row r="34" spans="1:121" ht="24.75" customHeight="1" thickBot="1">
      <c r="A34" s="701" t="s">
        <v>1079</v>
      </c>
      <c r="B34" s="1275" t="s">
        <v>812</v>
      </c>
      <c r="C34" s="1276">
        <v>19424</v>
      </c>
      <c r="D34" s="582"/>
      <c r="E34" s="417"/>
      <c r="F34" s="581"/>
      <c r="G34" s="582"/>
      <c r="H34" s="417"/>
      <c r="I34" s="581"/>
      <c r="J34" s="582"/>
      <c r="K34" s="417"/>
      <c r="L34" s="581"/>
      <c r="M34" s="582"/>
      <c r="N34" s="417"/>
      <c r="O34" s="581"/>
      <c r="P34" s="582"/>
      <c r="Q34" s="417"/>
      <c r="R34" s="581"/>
      <c r="S34" s="582"/>
      <c r="T34" s="417"/>
      <c r="U34" s="581"/>
      <c r="V34" s="582"/>
      <c r="W34" s="417"/>
      <c r="X34" s="581"/>
      <c r="Y34" s="582"/>
      <c r="Z34" s="599"/>
      <c r="AA34" s="581"/>
      <c r="AB34" s="582"/>
      <c r="AC34" s="599"/>
      <c r="AD34" s="581"/>
      <c r="AE34" s="582"/>
      <c r="AF34" s="599"/>
      <c r="AG34" s="581"/>
      <c r="AH34" s="582"/>
      <c r="AI34" s="599"/>
      <c r="AJ34" s="581"/>
      <c r="AK34" s="582"/>
      <c r="AL34" s="599"/>
      <c r="AM34" s="581"/>
      <c r="AN34" s="582"/>
      <c r="AO34" s="599"/>
      <c r="AP34" s="581"/>
      <c r="AQ34" s="582"/>
      <c r="AR34" s="599"/>
      <c r="AS34" s="581"/>
      <c r="AT34" s="582"/>
      <c r="AU34" s="599"/>
      <c r="AV34" s="581"/>
      <c r="AW34" s="582"/>
      <c r="AX34" s="599"/>
      <c r="AY34" s="581"/>
      <c r="AZ34" s="582"/>
      <c r="BA34" s="599"/>
      <c r="BB34" s="581"/>
      <c r="BC34" s="582"/>
      <c r="BD34" s="599"/>
      <c r="BE34" s="581"/>
      <c r="BF34" s="582"/>
      <c r="BG34" s="599"/>
      <c r="BH34" s="581"/>
      <c r="BI34" s="582">
        <f t="shared" si="40"/>
        <v>0</v>
      </c>
      <c r="BJ34" s="599">
        <f t="shared" si="40"/>
        <v>0</v>
      </c>
      <c r="BK34" s="581">
        <f t="shared" si="40"/>
        <v>0</v>
      </c>
      <c r="BL34" s="582"/>
      <c r="BM34" s="599"/>
      <c r="BN34" s="581"/>
      <c r="BO34" s="582"/>
      <c r="BP34" s="599"/>
      <c r="BQ34" s="581"/>
      <c r="BR34" s="582"/>
      <c r="BS34" s="599"/>
      <c r="BT34" s="581"/>
      <c r="BU34" s="582"/>
      <c r="BV34" s="599"/>
      <c r="BW34" s="581"/>
      <c r="BX34" s="582"/>
      <c r="BY34" s="599"/>
      <c r="BZ34" s="581"/>
      <c r="CA34" s="582"/>
      <c r="CB34" s="599"/>
      <c r="CC34" s="581"/>
      <c r="CD34" s="582"/>
      <c r="CE34" s="599"/>
      <c r="CF34" s="581"/>
      <c r="CG34" s="582"/>
      <c r="CH34" s="599"/>
      <c r="CI34" s="581"/>
      <c r="CJ34" s="582">
        <v>10000</v>
      </c>
      <c r="CK34" s="599">
        <v>12000</v>
      </c>
      <c r="CL34" s="581">
        <v>9360</v>
      </c>
      <c r="CM34" s="582">
        <f t="shared" si="41"/>
        <v>10000</v>
      </c>
      <c r="CN34" s="599">
        <f t="shared" si="41"/>
        <v>12000</v>
      </c>
      <c r="CO34" s="581">
        <f t="shared" si="41"/>
        <v>9360</v>
      </c>
      <c r="CP34" s="602">
        <f t="shared" si="12"/>
        <v>10000</v>
      </c>
      <c r="CQ34" s="603">
        <f t="shared" si="36"/>
        <v>12000</v>
      </c>
      <c r="CR34" s="604">
        <f t="shared" si="10"/>
        <v>9360</v>
      </c>
      <c r="CS34" s="582"/>
      <c r="CT34" s="599"/>
      <c r="CU34" s="581"/>
      <c r="CV34" s="582"/>
      <c r="CW34" s="599"/>
      <c r="CX34" s="581"/>
      <c r="CY34" s="582"/>
      <c r="CZ34" s="599"/>
      <c r="DA34" s="581"/>
      <c r="DB34" s="582">
        <v>5000</v>
      </c>
      <c r="DC34" s="592">
        <v>12807</v>
      </c>
      <c r="DD34" s="581">
        <v>1000</v>
      </c>
      <c r="DE34" s="582">
        <f t="shared" si="42"/>
        <v>5000</v>
      </c>
      <c r="DF34" s="418">
        <f t="shared" si="42"/>
        <v>12807</v>
      </c>
      <c r="DG34" s="417">
        <f t="shared" si="43"/>
        <v>1000</v>
      </c>
      <c r="DH34" s="582"/>
      <c r="DI34" s="592"/>
      <c r="DJ34" s="581"/>
      <c r="DK34" s="582"/>
      <c r="DL34" s="592"/>
      <c r="DM34" s="581"/>
      <c r="DN34" s="582">
        <f t="shared" si="44"/>
        <v>15000</v>
      </c>
      <c r="DO34" s="418">
        <f t="shared" si="44"/>
        <v>24807</v>
      </c>
      <c r="DP34" s="417">
        <f t="shared" si="44"/>
        <v>10360</v>
      </c>
      <c r="DQ34" s="684">
        <f t="shared" si="35"/>
        <v>41.76240577256419</v>
      </c>
    </row>
    <row r="35" spans="1:121" ht="30" customHeight="1" thickBot="1">
      <c r="A35" s="704" t="s">
        <v>174</v>
      </c>
      <c r="B35" s="1280" t="s">
        <v>994</v>
      </c>
      <c r="C35" s="1280"/>
      <c r="D35" s="672">
        <f aca="true" t="shared" si="45" ref="D35:AI35">D14+D18+D21+D24+D25+D26+D30+D31+D32</f>
        <v>1118797</v>
      </c>
      <c r="E35" s="670">
        <f t="shared" si="45"/>
        <v>2014820.9349999998</v>
      </c>
      <c r="F35" s="671">
        <f t="shared" si="45"/>
        <v>1162243.3820000002</v>
      </c>
      <c r="G35" s="672">
        <f t="shared" si="45"/>
        <v>320453</v>
      </c>
      <c r="H35" s="670">
        <f t="shared" si="45"/>
        <v>664576</v>
      </c>
      <c r="I35" s="1947">
        <f t="shared" si="45"/>
        <v>434207.526</v>
      </c>
      <c r="J35" s="1948">
        <f t="shared" si="45"/>
        <v>28768</v>
      </c>
      <c r="K35" s="670">
        <f t="shared" si="45"/>
        <v>29889</v>
      </c>
      <c r="L35" s="1947">
        <f t="shared" si="45"/>
        <v>27186.228</v>
      </c>
      <c r="M35" s="1948">
        <f t="shared" si="45"/>
        <v>7239</v>
      </c>
      <c r="N35" s="670">
        <f t="shared" si="45"/>
        <v>20515</v>
      </c>
      <c r="O35" s="1947">
        <f t="shared" si="45"/>
        <v>2078</v>
      </c>
      <c r="P35" s="1948">
        <f t="shared" si="45"/>
        <v>0</v>
      </c>
      <c r="Q35" s="670">
        <f t="shared" si="45"/>
        <v>0</v>
      </c>
      <c r="R35" s="1947">
        <f t="shared" si="45"/>
        <v>0</v>
      </c>
      <c r="S35" s="1948">
        <f t="shared" si="45"/>
        <v>132974</v>
      </c>
      <c r="T35" s="670">
        <f t="shared" si="45"/>
        <v>160232.06</v>
      </c>
      <c r="U35" s="1947">
        <f t="shared" si="45"/>
        <v>113489.786</v>
      </c>
      <c r="V35" s="1948">
        <f t="shared" si="45"/>
        <v>1174541</v>
      </c>
      <c r="W35" s="670">
        <f t="shared" si="45"/>
        <v>1352891.9</v>
      </c>
      <c r="X35" s="1947">
        <f t="shared" si="45"/>
        <v>955346.696</v>
      </c>
      <c r="Y35" s="1948">
        <f t="shared" si="45"/>
        <v>364632</v>
      </c>
      <c r="Z35" s="670">
        <f t="shared" si="45"/>
        <v>445208</v>
      </c>
      <c r="AA35" s="1947">
        <f t="shared" si="45"/>
        <v>383801.06000000006</v>
      </c>
      <c r="AB35" s="1948">
        <f t="shared" si="45"/>
        <v>3881</v>
      </c>
      <c r="AC35" s="670">
        <f t="shared" si="45"/>
        <v>3881</v>
      </c>
      <c r="AD35" s="1947">
        <f t="shared" si="45"/>
        <v>3881</v>
      </c>
      <c r="AE35" s="1948">
        <f t="shared" si="45"/>
        <v>329851</v>
      </c>
      <c r="AF35" s="670">
        <f t="shared" si="45"/>
        <v>365951</v>
      </c>
      <c r="AG35" s="1947">
        <f t="shared" si="45"/>
        <v>365951</v>
      </c>
      <c r="AH35" s="1948">
        <f t="shared" si="45"/>
        <v>887815</v>
      </c>
      <c r="AI35" s="670">
        <f t="shared" si="45"/>
        <v>911656</v>
      </c>
      <c r="AJ35" s="1947">
        <f aca="true" t="shared" si="46" ref="AJ35:BO35">AJ14+AJ18+AJ21+AJ24+AJ25+AJ26+AJ30+AJ31+AJ32</f>
        <v>775053.265</v>
      </c>
      <c r="AK35" s="1948">
        <f t="shared" si="46"/>
        <v>0</v>
      </c>
      <c r="AL35" s="670">
        <f t="shared" si="46"/>
        <v>0</v>
      </c>
      <c r="AM35" s="1947">
        <f t="shared" si="46"/>
        <v>0</v>
      </c>
      <c r="AN35" s="1948">
        <f t="shared" si="46"/>
        <v>7000</v>
      </c>
      <c r="AO35" s="670">
        <f t="shared" si="46"/>
        <v>163631</v>
      </c>
      <c r="AP35" s="1947">
        <f t="shared" si="46"/>
        <v>66746.152</v>
      </c>
      <c r="AQ35" s="1948">
        <f t="shared" si="46"/>
        <v>19000</v>
      </c>
      <c r="AR35" s="670">
        <f t="shared" si="46"/>
        <v>61060</v>
      </c>
      <c r="AS35" s="1947">
        <f t="shared" si="46"/>
        <v>20139</v>
      </c>
      <c r="AT35" s="1948">
        <f t="shared" si="46"/>
        <v>12000</v>
      </c>
      <c r="AU35" s="670">
        <f t="shared" si="46"/>
        <v>12900</v>
      </c>
      <c r="AV35" s="1947">
        <f t="shared" si="46"/>
        <v>12900</v>
      </c>
      <c r="AW35" s="1948">
        <f t="shared" si="46"/>
        <v>1418482</v>
      </c>
      <c r="AX35" s="670">
        <f t="shared" si="46"/>
        <v>1592469.66</v>
      </c>
      <c r="AY35" s="1947">
        <f t="shared" si="46"/>
        <v>1481139.311</v>
      </c>
      <c r="AZ35" s="1948">
        <f t="shared" si="46"/>
        <v>100000</v>
      </c>
      <c r="BA35" s="670">
        <f t="shared" si="46"/>
        <v>83300</v>
      </c>
      <c r="BB35" s="1947">
        <f t="shared" si="46"/>
        <v>9265</v>
      </c>
      <c r="BC35" s="1948">
        <f t="shared" si="46"/>
        <v>1644397</v>
      </c>
      <c r="BD35" s="670">
        <f t="shared" si="46"/>
        <v>1357333.147</v>
      </c>
      <c r="BE35" s="1947">
        <f t="shared" si="46"/>
        <v>464731.04099999997</v>
      </c>
      <c r="BF35" s="1948">
        <f t="shared" si="46"/>
        <v>192250</v>
      </c>
      <c r="BG35" s="670">
        <f t="shared" si="46"/>
        <v>206439</v>
      </c>
      <c r="BH35" s="1947">
        <f t="shared" si="46"/>
        <v>128140.574</v>
      </c>
      <c r="BI35" s="1948">
        <f>BI14+BI18+BI21+BI24+BI25+BI26+BI30+BI31+BI32</f>
        <v>7762080</v>
      </c>
      <c r="BJ35" s="670">
        <f t="shared" si="46"/>
        <v>9446753.702</v>
      </c>
      <c r="BK35" s="1947">
        <f t="shared" si="46"/>
        <v>6406299.021000001</v>
      </c>
      <c r="BL35" s="1948">
        <f t="shared" si="46"/>
        <v>1270</v>
      </c>
      <c r="BM35" s="670">
        <f t="shared" si="46"/>
        <v>1508</v>
      </c>
      <c r="BN35" s="1947">
        <f t="shared" si="46"/>
        <v>1283.121</v>
      </c>
      <c r="BO35" s="1948">
        <f t="shared" si="46"/>
        <v>110080</v>
      </c>
      <c r="BP35" s="670">
        <f aca="true" t="shared" si="47" ref="BP35:BZ35">BP14+BP18+BP21+BP24+BP25+BP26+BP30+BP31+BP32</f>
        <v>131557</v>
      </c>
      <c r="BQ35" s="1947">
        <f t="shared" si="47"/>
        <v>108240</v>
      </c>
      <c r="BR35" s="1948">
        <f t="shared" si="47"/>
        <v>58800</v>
      </c>
      <c r="BS35" s="670">
        <f t="shared" si="47"/>
        <v>58800</v>
      </c>
      <c r="BT35" s="1947">
        <f t="shared" si="47"/>
        <v>58800</v>
      </c>
      <c r="BU35" s="1948">
        <f t="shared" si="47"/>
        <v>27620</v>
      </c>
      <c r="BV35" s="670">
        <f t="shared" si="47"/>
        <v>36848</v>
      </c>
      <c r="BW35" s="1947">
        <f t="shared" si="47"/>
        <v>15500.085</v>
      </c>
      <c r="BX35" s="1948">
        <f t="shared" si="47"/>
        <v>5080</v>
      </c>
      <c r="BY35" s="670">
        <f t="shared" si="47"/>
        <v>5080</v>
      </c>
      <c r="BZ35" s="1947">
        <f t="shared" si="47"/>
        <v>0</v>
      </c>
      <c r="CA35" s="1948">
        <f aca="true" t="shared" si="48" ref="CA35:CO35">CA14+CA18+CA21+CA24+CA25+CA26+CA30+CA31+CA32</f>
        <v>69644</v>
      </c>
      <c r="CB35" s="670">
        <f t="shared" si="48"/>
        <v>83882</v>
      </c>
      <c r="CC35" s="1947">
        <f t="shared" si="48"/>
        <v>79431.14600000001</v>
      </c>
      <c r="CD35" s="1948">
        <f t="shared" si="48"/>
        <v>380730</v>
      </c>
      <c r="CE35" s="670">
        <f t="shared" si="48"/>
        <v>749860</v>
      </c>
      <c r="CF35" s="1947">
        <f t="shared" si="48"/>
        <v>219496.85799999998</v>
      </c>
      <c r="CG35" s="1948">
        <f t="shared" si="48"/>
        <v>250</v>
      </c>
      <c r="CH35" s="670">
        <f t="shared" si="48"/>
        <v>250</v>
      </c>
      <c r="CI35" s="1947">
        <f t="shared" si="48"/>
        <v>75</v>
      </c>
      <c r="CJ35" s="1948">
        <f t="shared" si="48"/>
        <v>125960</v>
      </c>
      <c r="CK35" s="670">
        <f t="shared" si="48"/>
        <v>213343</v>
      </c>
      <c r="CL35" s="1947">
        <f t="shared" si="48"/>
        <v>136824.227</v>
      </c>
      <c r="CM35" s="1948">
        <f t="shared" si="48"/>
        <v>779434</v>
      </c>
      <c r="CN35" s="670">
        <f t="shared" si="48"/>
        <v>1281128</v>
      </c>
      <c r="CO35" s="1947">
        <f t="shared" si="48"/>
        <v>619650.437</v>
      </c>
      <c r="CP35" s="1948">
        <f t="shared" si="12"/>
        <v>8541514</v>
      </c>
      <c r="CQ35" s="677">
        <f t="shared" si="36"/>
        <v>10727881.702</v>
      </c>
      <c r="CR35" s="674">
        <f t="shared" si="10"/>
        <v>7025949.458000001</v>
      </c>
      <c r="CS35" s="670">
        <f aca="true" t="shared" si="49" ref="CS35:DD35">CS14+CS18+CS21+CS24+CS25+CS26+CS30+CS31+CS32</f>
        <v>173931</v>
      </c>
      <c r="CT35" s="670">
        <f t="shared" si="49"/>
        <v>168206</v>
      </c>
      <c r="CU35" s="1947">
        <f t="shared" si="49"/>
        <v>164491</v>
      </c>
      <c r="CV35" s="1948">
        <f>CV14+CV18+CV21+CV24+CV25+CV26+CV30+CV31+CV32</f>
        <v>56825</v>
      </c>
      <c r="CW35" s="670">
        <f>CW14+CW18+CW21+CW24+CW25+CW26+CW30+CW31+CW32</f>
        <v>62380</v>
      </c>
      <c r="CX35" s="1947">
        <f>CX14+CX18+CX21+CX24+CX25+CX26+CX30+CX31+CX32</f>
        <v>55230</v>
      </c>
      <c r="CY35" s="1948">
        <f t="shared" si="49"/>
        <v>88834</v>
      </c>
      <c r="CZ35" s="670">
        <f t="shared" si="49"/>
        <v>89316</v>
      </c>
      <c r="DA35" s="1947">
        <f t="shared" si="49"/>
        <v>86601</v>
      </c>
      <c r="DB35" s="1948">
        <f t="shared" si="49"/>
        <v>2224877</v>
      </c>
      <c r="DC35" s="670">
        <f t="shared" si="49"/>
        <v>2707582.093</v>
      </c>
      <c r="DD35" s="670">
        <f t="shared" si="49"/>
        <v>2242909.802</v>
      </c>
      <c r="DE35" s="676">
        <f t="shared" si="42"/>
        <v>2544467</v>
      </c>
      <c r="DF35" s="678">
        <f t="shared" si="42"/>
        <v>3027484.093</v>
      </c>
      <c r="DG35" s="1947">
        <f t="shared" si="43"/>
        <v>2549231.802</v>
      </c>
      <c r="DH35" s="1948">
        <f aca="true" t="shared" si="50" ref="DH35:DM35">DH14+DH18+DH21+DH24+DH25+DH26+DH30+DH31+DH32</f>
        <v>2262695</v>
      </c>
      <c r="DI35" s="670">
        <f t="shared" si="50"/>
        <v>2817345.751</v>
      </c>
      <c r="DJ35" s="1947">
        <f t="shared" si="50"/>
        <v>2660278</v>
      </c>
      <c r="DK35" s="1948">
        <f t="shared" si="50"/>
        <v>1312764</v>
      </c>
      <c r="DL35" s="670">
        <f t="shared" si="50"/>
        <v>1548439.4</v>
      </c>
      <c r="DM35" s="670">
        <f t="shared" si="50"/>
        <v>1523499</v>
      </c>
      <c r="DN35" s="676">
        <f t="shared" si="44"/>
        <v>14661440</v>
      </c>
      <c r="DO35" s="678">
        <f t="shared" si="44"/>
        <v>18121150.946</v>
      </c>
      <c r="DP35" s="670">
        <f t="shared" si="44"/>
        <v>13758958.260000002</v>
      </c>
      <c r="DQ35" s="685">
        <f>DP35/DO35*100</f>
        <v>75.92761795870977</v>
      </c>
    </row>
    <row r="36" spans="1:121" ht="30" customHeight="1">
      <c r="A36" s="1256" t="s">
        <v>163</v>
      </c>
      <c r="B36" s="1281" t="s">
        <v>177</v>
      </c>
      <c r="C36" s="1282"/>
      <c r="D36" s="1292"/>
      <c r="E36" s="1293"/>
      <c r="F36" s="1294"/>
      <c r="G36" s="1292"/>
      <c r="H36" s="1293"/>
      <c r="I36" s="1294"/>
      <c r="J36" s="1292"/>
      <c r="K36" s="1293"/>
      <c r="L36" s="1294"/>
      <c r="M36" s="1292"/>
      <c r="N36" s="1293"/>
      <c r="O36" s="1294"/>
      <c r="P36" s="1292"/>
      <c r="Q36" s="1293"/>
      <c r="R36" s="1294"/>
      <c r="S36" s="1292"/>
      <c r="T36" s="1293"/>
      <c r="U36" s="1294"/>
      <c r="V36" s="1292"/>
      <c r="W36" s="1293"/>
      <c r="X36" s="1294"/>
      <c r="Y36" s="1488"/>
      <c r="Z36" s="1486"/>
      <c r="AA36" s="1487"/>
      <c r="AB36" s="1488"/>
      <c r="AC36" s="1486"/>
      <c r="AD36" s="1487"/>
      <c r="AE36" s="1488"/>
      <c r="AF36" s="1486"/>
      <c r="AG36" s="1487"/>
      <c r="AH36" s="1488"/>
      <c r="AI36" s="1486"/>
      <c r="AJ36" s="1487"/>
      <c r="AK36" s="1488"/>
      <c r="AL36" s="1486"/>
      <c r="AM36" s="1487"/>
      <c r="AN36" s="1488"/>
      <c r="AO36" s="1486"/>
      <c r="AP36" s="1487"/>
      <c r="AQ36" s="1488"/>
      <c r="AR36" s="1486"/>
      <c r="AS36" s="1487"/>
      <c r="AT36" s="1488"/>
      <c r="AU36" s="1486"/>
      <c r="AV36" s="1487"/>
      <c r="AW36" s="1488"/>
      <c r="AX36" s="1486"/>
      <c r="AY36" s="1487"/>
      <c r="AZ36" s="1488"/>
      <c r="BA36" s="1486"/>
      <c r="BB36" s="1487"/>
      <c r="BC36" s="1488"/>
      <c r="BD36" s="1486"/>
      <c r="BE36" s="1487"/>
      <c r="BF36" s="1488"/>
      <c r="BG36" s="1991">
        <v>750000</v>
      </c>
      <c r="BH36" s="1992">
        <v>749991</v>
      </c>
      <c r="BI36" s="1490">
        <f aca="true" t="shared" si="51" ref="BI36:BK37">D36+G36+J36+M36+P36+S36+V36+Y36+AB36+AE36+AH36+AK36+AN36+AQ36+AT36+AW36+AZ36+BC36+BF36</f>
        <v>0</v>
      </c>
      <c r="BJ36" s="1993">
        <f t="shared" si="51"/>
        <v>750000</v>
      </c>
      <c r="BK36" s="1994">
        <f t="shared" si="51"/>
        <v>749991</v>
      </c>
      <c r="BL36" s="1488"/>
      <c r="BM36" s="1486"/>
      <c r="BN36" s="1487"/>
      <c r="BO36" s="1488"/>
      <c r="BP36" s="1486"/>
      <c r="BQ36" s="1487"/>
      <c r="BR36" s="1488"/>
      <c r="BS36" s="1486"/>
      <c r="BT36" s="1487"/>
      <c r="BU36" s="1488"/>
      <c r="BV36" s="1486"/>
      <c r="BW36" s="1487"/>
      <c r="BX36" s="1488"/>
      <c r="BY36" s="1486"/>
      <c r="BZ36" s="1487"/>
      <c r="CA36" s="1488"/>
      <c r="CB36" s="1486"/>
      <c r="CC36" s="1487"/>
      <c r="CD36" s="1488"/>
      <c r="CE36" s="1486"/>
      <c r="CF36" s="1487"/>
      <c r="CG36" s="1488"/>
      <c r="CH36" s="1486"/>
      <c r="CI36" s="1487"/>
      <c r="CJ36" s="1488"/>
      <c r="CK36" s="1486"/>
      <c r="CL36" s="1487"/>
      <c r="CM36" s="1490">
        <f aca="true" t="shared" si="52" ref="CM36:CO37">BL36+BO36+BR36+BU36+BX36+CA36+CD36+CG36+CJ36</f>
        <v>0</v>
      </c>
      <c r="CN36" s="1993">
        <f t="shared" si="52"/>
        <v>0</v>
      </c>
      <c r="CO36" s="1994">
        <f t="shared" si="52"/>
        <v>0</v>
      </c>
      <c r="CP36" s="1490">
        <f t="shared" si="12"/>
        <v>0</v>
      </c>
      <c r="CQ36" s="1993">
        <f t="shared" si="36"/>
        <v>750000</v>
      </c>
      <c r="CR36" s="1994">
        <f t="shared" si="10"/>
        <v>749991</v>
      </c>
      <c r="CS36" s="1488"/>
      <c r="CT36" s="1486"/>
      <c r="CU36" s="1487"/>
      <c r="CV36" s="1488"/>
      <c r="CW36" s="1486"/>
      <c r="CX36" s="1487"/>
      <c r="CY36" s="1488"/>
      <c r="CZ36" s="1486"/>
      <c r="DA36" s="1487"/>
      <c r="DB36" s="1292"/>
      <c r="DC36" s="1293"/>
      <c r="DD36" s="1294"/>
      <c r="DE36" s="1292">
        <f t="shared" si="42"/>
        <v>0</v>
      </c>
      <c r="DF36" s="1293">
        <f t="shared" si="42"/>
        <v>0</v>
      </c>
      <c r="DG36" s="1294">
        <f t="shared" si="43"/>
        <v>0</v>
      </c>
      <c r="DH36" s="1292"/>
      <c r="DI36" s="1293"/>
      <c r="DJ36" s="1487"/>
      <c r="DK36" s="1292"/>
      <c r="DL36" s="1293"/>
      <c r="DM36" s="1487"/>
      <c r="DN36" s="1490">
        <f aca="true" t="shared" si="53" ref="DN36:DP37">CP36+DE36+DH36+DK36</f>
        <v>0</v>
      </c>
      <c r="DO36" s="1491">
        <f t="shared" si="53"/>
        <v>750000</v>
      </c>
      <c r="DP36" s="1491">
        <f t="shared" si="53"/>
        <v>749991</v>
      </c>
      <c r="DQ36" s="684">
        <f>DP36/DO36*100</f>
        <v>99.9988</v>
      </c>
    </row>
    <row r="37" spans="1:121" ht="30" customHeight="1" thickBot="1">
      <c r="A37" s="1261" t="s">
        <v>164</v>
      </c>
      <c r="B37" s="1283" t="s">
        <v>1081</v>
      </c>
      <c r="C37" s="1284">
        <v>43121</v>
      </c>
      <c r="D37" s="584"/>
      <c r="E37" s="1258"/>
      <c r="F37" s="583"/>
      <c r="G37" s="584"/>
      <c r="H37" s="1258"/>
      <c r="I37" s="583"/>
      <c r="J37" s="584"/>
      <c r="K37" s="1258"/>
      <c r="L37" s="583"/>
      <c r="M37" s="584"/>
      <c r="N37" s="1258"/>
      <c r="O37" s="583"/>
      <c r="P37" s="584"/>
      <c r="Q37" s="1258"/>
      <c r="R37" s="583"/>
      <c r="S37" s="584"/>
      <c r="T37" s="1258"/>
      <c r="U37" s="583"/>
      <c r="V37" s="584"/>
      <c r="W37" s="1258"/>
      <c r="X37" s="583"/>
      <c r="Y37" s="584"/>
      <c r="Z37" s="600"/>
      <c r="AA37" s="583"/>
      <c r="AB37" s="584"/>
      <c r="AC37" s="600"/>
      <c r="AD37" s="583"/>
      <c r="AE37" s="584"/>
      <c r="AF37" s="600"/>
      <c r="AG37" s="583"/>
      <c r="AH37" s="584"/>
      <c r="AI37" s="600"/>
      <c r="AJ37" s="583"/>
      <c r="AK37" s="584"/>
      <c r="AL37" s="600"/>
      <c r="AM37" s="583"/>
      <c r="AN37" s="584"/>
      <c r="AO37" s="600"/>
      <c r="AP37" s="583"/>
      <c r="AQ37" s="584"/>
      <c r="AR37" s="600"/>
      <c r="AS37" s="583"/>
      <c r="AT37" s="584"/>
      <c r="AU37" s="600"/>
      <c r="AV37" s="583"/>
      <c r="AW37" s="584"/>
      <c r="AX37" s="600"/>
      <c r="AY37" s="583"/>
      <c r="AZ37" s="584"/>
      <c r="BA37" s="600"/>
      <c r="BB37" s="583"/>
      <c r="BC37" s="584"/>
      <c r="BD37" s="600"/>
      <c r="BE37" s="583"/>
      <c r="BF37" s="584">
        <v>86897</v>
      </c>
      <c r="BG37" s="600">
        <v>128793</v>
      </c>
      <c r="BH37" s="583">
        <v>128793</v>
      </c>
      <c r="BI37" s="1286">
        <f t="shared" si="51"/>
        <v>86897</v>
      </c>
      <c r="BJ37" s="1489">
        <f t="shared" si="51"/>
        <v>128793</v>
      </c>
      <c r="BK37" s="1288">
        <f t="shared" si="51"/>
        <v>128793</v>
      </c>
      <c r="BL37" s="584"/>
      <c r="BM37" s="600"/>
      <c r="BN37" s="583"/>
      <c r="BO37" s="584"/>
      <c r="BP37" s="600"/>
      <c r="BQ37" s="583"/>
      <c r="BR37" s="584"/>
      <c r="BS37" s="600"/>
      <c r="BT37" s="583"/>
      <c r="BU37" s="584"/>
      <c r="BV37" s="600"/>
      <c r="BW37" s="583"/>
      <c r="BX37" s="584"/>
      <c r="BY37" s="600"/>
      <c r="BZ37" s="583"/>
      <c r="CA37" s="584"/>
      <c r="CB37" s="600"/>
      <c r="CC37" s="583"/>
      <c r="CD37" s="584"/>
      <c r="CE37" s="600"/>
      <c r="CF37" s="583"/>
      <c r="CG37" s="584"/>
      <c r="CH37" s="600"/>
      <c r="CI37" s="583"/>
      <c r="CJ37" s="584"/>
      <c r="CK37" s="600"/>
      <c r="CL37" s="583"/>
      <c r="CM37" s="584">
        <f t="shared" si="52"/>
        <v>0</v>
      </c>
      <c r="CN37" s="600">
        <f t="shared" si="52"/>
        <v>0</v>
      </c>
      <c r="CO37" s="583">
        <f t="shared" si="52"/>
        <v>0</v>
      </c>
      <c r="CP37" s="1286">
        <f t="shared" si="12"/>
        <v>86897</v>
      </c>
      <c r="CQ37" s="1489">
        <f t="shared" si="36"/>
        <v>128793</v>
      </c>
      <c r="CR37" s="1288">
        <f t="shared" si="10"/>
        <v>128793</v>
      </c>
      <c r="CS37" s="584"/>
      <c r="CT37" s="600"/>
      <c r="CU37" s="583"/>
      <c r="CV37" s="584"/>
      <c r="CW37" s="600"/>
      <c r="CX37" s="583"/>
      <c r="CY37" s="584"/>
      <c r="CZ37" s="600"/>
      <c r="DA37" s="583"/>
      <c r="DB37" s="584"/>
      <c r="DC37" s="1259"/>
      <c r="DD37" s="583"/>
      <c r="DE37" s="584">
        <f t="shared" si="42"/>
        <v>0</v>
      </c>
      <c r="DF37" s="1260">
        <f t="shared" si="42"/>
        <v>0</v>
      </c>
      <c r="DG37" s="1258">
        <f t="shared" si="43"/>
        <v>0</v>
      </c>
      <c r="DH37" s="584"/>
      <c r="DI37" s="1259"/>
      <c r="DJ37" s="583"/>
      <c r="DK37" s="584"/>
      <c r="DL37" s="1259"/>
      <c r="DM37" s="583"/>
      <c r="DN37" s="1286">
        <f t="shared" si="53"/>
        <v>86897</v>
      </c>
      <c r="DO37" s="1295">
        <f t="shared" si="53"/>
        <v>128793</v>
      </c>
      <c r="DP37" s="1287">
        <f t="shared" si="53"/>
        <v>128793</v>
      </c>
      <c r="DQ37" s="1492">
        <f>DP37/DO37*100</f>
        <v>100</v>
      </c>
    </row>
    <row r="38" spans="1:121" ht="30" customHeight="1" thickBot="1">
      <c r="A38" s="704" t="s">
        <v>457</v>
      </c>
      <c r="B38" s="1281" t="s">
        <v>1082</v>
      </c>
      <c r="C38" s="1284"/>
      <c r="D38" s="1286">
        <f aca="true" t="shared" si="54" ref="D38:AI38">SUM(D36:D37)</f>
        <v>0</v>
      </c>
      <c r="E38" s="1287">
        <f t="shared" si="54"/>
        <v>0</v>
      </c>
      <c r="F38" s="1288">
        <f t="shared" si="54"/>
        <v>0</v>
      </c>
      <c r="G38" s="1286">
        <f t="shared" si="54"/>
        <v>0</v>
      </c>
      <c r="H38" s="1287">
        <f t="shared" si="54"/>
        <v>0</v>
      </c>
      <c r="I38" s="1288">
        <f t="shared" si="54"/>
        <v>0</v>
      </c>
      <c r="J38" s="1286">
        <f t="shared" si="54"/>
        <v>0</v>
      </c>
      <c r="K38" s="1287">
        <f t="shared" si="54"/>
        <v>0</v>
      </c>
      <c r="L38" s="1288">
        <f t="shared" si="54"/>
        <v>0</v>
      </c>
      <c r="M38" s="1286">
        <f t="shared" si="54"/>
        <v>0</v>
      </c>
      <c r="N38" s="1287">
        <f t="shared" si="54"/>
        <v>0</v>
      </c>
      <c r="O38" s="1288">
        <f t="shared" si="54"/>
        <v>0</v>
      </c>
      <c r="P38" s="1286">
        <f t="shared" si="54"/>
        <v>0</v>
      </c>
      <c r="Q38" s="1287">
        <f t="shared" si="54"/>
        <v>0</v>
      </c>
      <c r="R38" s="1288">
        <f t="shared" si="54"/>
        <v>0</v>
      </c>
      <c r="S38" s="1286">
        <f t="shared" si="54"/>
        <v>0</v>
      </c>
      <c r="T38" s="1287">
        <f t="shared" si="54"/>
        <v>0</v>
      </c>
      <c r="U38" s="1288">
        <f t="shared" si="54"/>
        <v>0</v>
      </c>
      <c r="V38" s="1286">
        <f t="shared" si="54"/>
        <v>0</v>
      </c>
      <c r="W38" s="1287">
        <f t="shared" si="54"/>
        <v>0</v>
      </c>
      <c r="X38" s="1288">
        <f t="shared" si="54"/>
        <v>0</v>
      </c>
      <c r="Y38" s="1286">
        <f t="shared" si="54"/>
        <v>0</v>
      </c>
      <c r="Z38" s="1287">
        <f t="shared" si="54"/>
        <v>0</v>
      </c>
      <c r="AA38" s="1288">
        <f t="shared" si="54"/>
        <v>0</v>
      </c>
      <c r="AB38" s="1286">
        <f t="shared" si="54"/>
        <v>0</v>
      </c>
      <c r="AC38" s="1287">
        <f t="shared" si="54"/>
        <v>0</v>
      </c>
      <c r="AD38" s="1288">
        <f t="shared" si="54"/>
        <v>0</v>
      </c>
      <c r="AE38" s="1286">
        <f t="shared" si="54"/>
        <v>0</v>
      </c>
      <c r="AF38" s="1287">
        <f t="shared" si="54"/>
        <v>0</v>
      </c>
      <c r="AG38" s="1288">
        <f t="shared" si="54"/>
        <v>0</v>
      </c>
      <c r="AH38" s="1286">
        <f t="shared" si="54"/>
        <v>0</v>
      </c>
      <c r="AI38" s="1287">
        <f t="shared" si="54"/>
        <v>0</v>
      </c>
      <c r="AJ38" s="1288">
        <f aca="true" t="shared" si="55" ref="AJ38:BK38">SUM(AJ36:AJ37)</f>
        <v>0</v>
      </c>
      <c r="AK38" s="1286">
        <f t="shared" si="55"/>
        <v>0</v>
      </c>
      <c r="AL38" s="1287">
        <f t="shared" si="55"/>
        <v>0</v>
      </c>
      <c r="AM38" s="1288">
        <f t="shared" si="55"/>
        <v>0</v>
      </c>
      <c r="AN38" s="1286">
        <f t="shared" si="55"/>
        <v>0</v>
      </c>
      <c r="AO38" s="1287">
        <f t="shared" si="55"/>
        <v>0</v>
      </c>
      <c r="AP38" s="1288">
        <f t="shared" si="55"/>
        <v>0</v>
      </c>
      <c r="AQ38" s="1286">
        <f t="shared" si="55"/>
        <v>0</v>
      </c>
      <c r="AR38" s="1287">
        <f t="shared" si="55"/>
        <v>0</v>
      </c>
      <c r="AS38" s="1288">
        <f t="shared" si="55"/>
        <v>0</v>
      </c>
      <c r="AT38" s="1286">
        <f t="shared" si="55"/>
        <v>0</v>
      </c>
      <c r="AU38" s="1287">
        <f t="shared" si="55"/>
        <v>0</v>
      </c>
      <c r="AV38" s="1288">
        <f t="shared" si="55"/>
        <v>0</v>
      </c>
      <c r="AW38" s="1286">
        <f t="shared" si="55"/>
        <v>0</v>
      </c>
      <c r="AX38" s="1287">
        <f t="shared" si="55"/>
        <v>0</v>
      </c>
      <c r="AY38" s="1288">
        <f t="shared" si="55"/>
        <v>0</v>
      </c>
      <c r="AZ38" s="1286">
        <f t="shared" si="55"/>
        <v>0</v>
      </c>
      <c r="BA38" s="1287">
        <f t="shared" si="55"/>
        <v>0</v>
      </c>
      <c r="BB38" s="1288">
        <f t="shared" si="55"/>
        <v>0</v>
      </c>
      <c r="BC38" s="1286">
        <f t="shared" si="55"/>
        <v>0</v>
      </c>
      <c r="BD38" s="1287">
        <f t="shared" si="55"/>
        <v>0</v>
      </c>
      <c r="BE38" s="1288">
        <f t="shared" si="55"/>
        <v>0</v>
      </c>
      <c r="BF38" s="1286">
        <f t="shared" si="55"/>
        <v>86897</v>
      </c>
      <c r="BG38" s="1287">
        <f t="shared" si="55"/>
        <v>878793</v>
      </c>
      <c r="BH38" s="1288">
        <f t="shared" si="55"/>
        <v>878784</v>
      </c>
      <c r="BI38" s="1289">
        <f t="shared" si="55"/>
        <v>86897</v>
      </c>
      <c r="BJ38" s="1290">
        <f t="shared" si="55"/>
        <v>878793</v>
      </c>
      <c r="BK38" s="1291">
        <f t="shared" si="55"/>
        <v>878784</v>
      </c>
      <c r="BL38" s="1286">
        <f aca="true" t="shared" si="56" ref="BL38:DP38">SUM(BL36:BL37)</f>
        <v>0</v>
      </c>
      <c r="BM38" s="1287">
        <f t="shared" si="56"/>
        <v>0</v>
      </c>
      <c r="BN38" s="1288">
        <f t="shared" si="56"/>
        <v>0</v>
      </c>
      <c r="BO38" s="1286">
        <f t="shared" si="56"/>
        <v>0</v>
      </c>
      <c r="BP38" s="1287">
        <f t="shared" si="56"/>
        <v>0</v>
      </c>
      <c r="BQ38" s="1288">
        <f t="shared" si="56"/>
        <v>0</v>
      </c>
      <c r="BR38" s="1286">
        <f t="shared" si="56"/>
        <v>0</v>
      </c>
      <c r="BS38" s="1287">
        <f t="shared" si="56"/>
        <v>0</v>
      </c>
      <c r="BT38" s="1288">
        <f t="shared" si="56"/>
        <v>0</v>
      </c>
      <c r="BU38" s="1286">
        <f t="shared" si="56"/>
        <v>0</v>
      </c>
      <c r="BV38" s="1287">
        <f t="shared" si="56"/>
        <v>0</v>
      </c>
      <c r="BW38" s="1288">
        <f t="shared" si="56"/>
        <v>0</v>
      </c>
      <c r="BX38" s="1286">
        <f t="shared" si="56"/>
        <v>0</v>
      </c>
      <c r="BY38" s="1287">
        <f t="shared" si="56"/>
        <v>0</v>
      </c>
      <c r="BZ38" s="1288">
        <f t="shared" si="56"/>
        <v>0</v>
      </c>
      <c r="CA38" s="1286">
        <f t="shared" si="56"/>
        <v>0</v>
      </c>
      <c r="CB38" s="1287">
        <f t="shared" si="56"/>
        <v>0</v>
      </c>
      <c r="CC38" s="1288">
        <f t="shared" si="56"/>
        <v>0</v>
      </c>
      <c r="CD38" s="1286">
        <f t="shared" si="56"/>
        <v>0</v>
      </c>
      <c r="CE38" s="1287">
        <f t="shared" si="56"/>
        <v>0</v>
      </c>
      <c r="CF38" s="1288">
        <f t="shared" si="56"/>
        <v>0</v>
      </c>
      <c r="CG38" s="1286">
        <f t="shared" si="56"/>
        <v>0</v>
      </c>
      <c r="CH38" s="1287">
        <f t="shared" si="56"/>
        <v>0</v>
      </c>
      <c r="CI38" s="1288">
        <f t="shared" si="56"/>
        <v>0</v>
      </c>
      <c r="CJ38" s="1286">
        <f t="shared" si="56"/>
        <v>0</v>
      </c>
      <c r="CK38" s="1287">
        <f t="shared" si="56"/>
        <v>0</v>
      </c>
      <c r="CL38" s="1288">
        <f t="shared" si="56"/>
        <v>0</v>
      </c>
      <c r="CM38" s="1286">
        <f t="shared" si="56"/>
        <v>0</v>
      </c>
      <c r="CN38" s="1287">
        <f t="shared" si="56"/>
        <v>0</v>
      </c>
      <c r="CO38" s="1288">
        <f t="shared" si="56"/>
        <v>0</v>
      </c>
      <c r="CP38" s="1286">
        <f t="shared" si="56"/>
        <v>86897</v>
      </c>
      <c r="CQ38" s="603">
        <f t="shared" si="56"/>
        <v>878793</v>
      </c>
      <c r="CR38" s="604">
        <f t="shared" si="56"/>
        <v>878784</v>
      </c>
      <c r="CS38" s="1286">
        <f t="shared" si="56"/>
        <v>0</v>
      </c>
      <c r="CT38" s="1287">
        <f t="shared" si="56"/>
        <v>0</v>
      </c>
      <c r="CU38" s="1288">
        <f t="shared" si="56"/>
        <v>0</v>
      </c>
      <c r="CV38" s="1286">
        <f t="shared" si="56"/>
        <v>0</v>
      </c>
      <c r="CW38" s="1287">
        <f t="shared" si="56"/>
        <v>0</v>
      </c>
      <c r="CX38" s="1288">
        <f t="shared" si="56"/>
        <v>0</v>
      </c>
      <c r="CY38" s="1286">
        <f t="shared" si="56"/>
        <v>0</v>
      </c>
      <c r="CZ38" s="1287">
        <f t="shared" si="56"/>
        <v>0</v>
      </c>
      <c r="DA38" s="1288">
        <f t="shared" si="56"/>
        <v>0</v>
      </c>
      <c r="DB38" s="1286">
        <f t="shared" si="56"/>
        <v>0</v>
      </c>
      <c r="DC38" s="1287">
        <f t="shared" si="56"/>
        <v>0</v>
      </c>
      <c r="DD38" s="1288">
        <f t="shared" si="56"/>
        <v>0</v>
      </c>
      <c r="DE38" s="1286">
        <f>SUM(DE36:DE37)</f>
        <v>0</v>
      </c>
      <c r="DF38" s="1295">
        <f>SUM(DF36:DF37)</f>
        <v>0</v>
      </c>
      <c r="DG38" s="1287">
        <f>SUM(DG36:DG37)</f>
        <v>0</v>
      </c>
      <c r="DH38" s="1286">
        <f t="shared" si="56"/>
        <v>0</v>
      </c>
      <c r="DI38" s="1287">
        <f t="shared" si="56"/>
        <v>0</v>
      </c>
      <c r="DJ38" s="1288">
        <f t="shared" si="56"/>
        <v>0</v>
      </c>
      <c r="DK38" s="1286">
        <f t="shared" si="56"/>
        <v>0</v>
      </c>
      <c r="DL38" s="1287">
        <f t="shared" si="56"/>
        <v>0</v>
      </c>
      <c r="DM38" s="1288">
        <f t="shared" si="56"/>
        <v>0</v>
      </c>
      <c r="DN38" s="584">
        <f t="shared" si="56"/>
        <v>86897</v>
      </c>
      <c r="DO38" s="1260">
        <f t="shared" si="56"/>
        <v>878793</v>
      </c>
      <c r="DP38" s="1258">
        <f t="shared" si="56"/>
        <v>878784</v>
      </c>
      <c r="DQ38" s="685">
        <f>DP38/DO38*100</f>
        <v>99.99897586803719</v>
      </c>
    </row>
    <row r="39" spans="1:121" ht="30" customHeight="1" thickBot="1">
      <c r="A39" s="704" t="s">
        <v>5</v>
      </c>
      <c r="B39" s="1280" t="s">
        <v>189</v>
      </c>
      <c r="C39" s="1285" t="s">
        <v>893</v>
      </c>
      <c r="D39" s="586"/>
      <c r="E39" s="372"/>
      <c r="F39" s="585"/>
      <c r="G39" s="586"/>
      <c r="H39" s="372"/>
      <c r="I39" s="585"/>
      <c r="J39" s="586"/>
      <c r="K39" s="372"/>
      <c r="L39" s="585"/>
      <c r="M39" s="586"/>
      <c r="N39" s="372"/>
      <c r="O39" s="585"/>
      <c r="P39" s="586"/>
      <c r="Q39" s="372"/>
      <c r="R39" s="585"/>
      <c r="S39" s="586"/>
      <c r="T39" s="372"/>
      <c r="U39" s="585"/>
      <c r="V39" s="586"/>
      <c r="W39" s="372"/>
      <c r="X39" s="585"/>
      <c r="Y39" s="586"/>
      <c r="Z39" s="601"/>
      <c r="AA39" s="585"/>
      <c r="AB39" s="586"/>
      <c r="AC39" s="601"/>
      <c r="AD39" s="585"/>
      <c r="AE39" s="586"/>
      <c r="AF39" s="601"/>
      <c r="AG39" s="585"/>
      <c r="AH39" s="586"/>
      <c r="AI39" s="601"/>
      <c r="AJ39" s="585"/>
      <c r="AK39" s="586"/>
      <c r="AL39" s="601"/>
      <c r="AM39" s="585"/>
      <c r="AN39" s="586"/>
      <c r="AO39" s="601"/>
      <c r="AP39" s="585"/>
      <c r="AQ39" s="586"/>
      <c r="AR39" s="601"/>
      <c r="AS39" s="585"/>
      <c r="AT39" s="586"/>
      <c r="AU39" s="601"/>
      <c r="AV39" s="585"/>
      <c r="AW39" s="586"/>
      <c r="AX39" s="601"/>
      <c r="AY39" s="585"/>
      <c r="AZ39" s="586"/>
      <c r="BA39" s="601"/>
      <c r="BB39" s="585"/>
      <c r="BC39" s="586"/>
      <c r="BD39" s="601"/>
      <c r="BE39" s="585">
        <v>-81895</v>
      </c>
      <c r="BF39" s="586"/>
      <c r="BG39" s="601"/>
      <c r="BH39" s="585"/>
      <c r="BI39" s="586"/>
      <c r="BJ39" s="601"/>
      <c r="BK39" s="585">
        <f>F39+I39+L39+O39+R39+U39+X39+AA39+AD39+AG39+AJ39+AM39+AP39+AS39+AV39+AY39+BB39+BE39+BH39</f>
        <v>-81895</v>
      </c>
      <c r="BL39" s="586"/>
      <c r="BM39" s="601"/>
      <c r="BN39" s="585"/>
      <c r="BO39" s="586"/>
      <c r="BP39" s="601"/>
      <c r="BQ39" s="585"/>
      <c r="BR39" s="586"/>
      <c r="BS39" s="601"/>
      <c r="BT39" s="585"/>
      <c r="BU39" s="586"/>
      <c r="BV39" s="601"/>
      <c r="BW39" s="585"/>
      <c r="BX39" s="586"/>
      <c r="BY39" s="601"/>
      <c r="BZ39" s="585"/>
      <c r="CA39" s="586"/>
      <c r="CB39" s="601"/>
      <c r="CC39" s="585"/>
      <c r="CD39" s="586"/>
      <c r="CE39" s="601"/>
      <c r="CF39" s="585"/>
      <c r="CG39" s="586"/>
      <c r="CH39" s="601"/>
      <c r="CI39" s="585"/>
      <c r="CJ39" s="586"/>
      <c r="CK39" s="601"/>
      <c r="CL39" s="585"/>
      <c r="CM39" s="586"/>
      <c r="CN39" s="601"/>
      <c r="CO39" s="585">
        <f>BN39+BQ39+BT39+BW39+BZ39+CC39+CF39+CI39+CL39</f>
        <v>0</v>
      </c>
      <c r="CP39" s="586">
        <f t="shared" si="12"/>
        <v>0</v>
      </c>
      <c r="CQ39" s="677">
        <f t="shared" si="36"/>
        <v>0</v>
      </c>
      <c r="CR39" s="674">
        <f t="shared" si="10"/>
        <v>-81895</v>
      </c>
      <c r="CS39" s="586"/>
      <c r="CT39" s="601"/>
      <c r="CU39" s="585"/>
      <c r="CV39" s="586"/>
      <c r="CW39" s="601"/>
      <c r="CX39" s="585"/>
      <c r="CY39" s="586"/>
      <c r="CZ39" s="601"/>
      <c r="DA39" s="585"/>
      <c r="DB39" s="586"/>
      <c r="DC39" s="593"/>
      <c r="DD39" s="585">
        <v>-3981</v>
      </c>
      <c r="DE39" s="586"/>
      <c r="DF39" s="595"/>
      <c r="DG39" s="372">
        <f t="shared" si="43"/>
        <v>-3981</v>
      </c>
      <c r="DH39" s="586"/>
      <c r="DI39" s="593"/>
      <c r="DJ39" s="585">
        <v>-565</v>
      </c>
      <c r="DK39" s="586"/>
      <c r="DL39" s="593"/>
      <c r="DM39" s="585">
        <v>-1757</v>
      </c>
      <c r="DN39" s="586">
        <f>CP39+DE39+DH39+DK39</f>
        <v>0</v>
      </c>
      <c r="DO39" s="595">
        <f>CQ39+DF39+DI39+DL39</f>
        <v>0</v>
      </c>
      <c r="DP39" s="372">
        <f>CR39+DG39+DJ39+DM39</f>
        <v>-88198</v>
      </c>
      <c r="DQ39" s="685"/>
    </row>
    <row r="40" spans="1:121" ht="30" customHeight="1" thickBot="1">
      <c r="A40" s="704"/>
      <c r="B40" s="1280" t="s">
        <v>995</v>
      </c>
      <c r="C40" s="1280"/>
      <c r="D40" s="672">
        <f>D35+D38+D39</f>
        <v>1118797</v>
      </c>
      <c r="E40" s="672">
        <f aca="true" t="shared" si="57" ref="E40:BH40">E35+E38+E39</f>
        <v>2014820.9349999998</v>
      </c>
      <c r="F40" s="672">
        <f t="shared" si="57"/>
        <v>1162243.3820000002</v>
      </c>
      <c r="G40" s="672">
        <f t="shared" si="57"/>
        <v>320453</v>
      </c>
      <c r="H40" s="670">
        <f t="shared" si="57"/>
        <v>664576</v>
      </c>
      <c r="I40" s="671">
        <f t="shared" si="57"/>
        <v>434207.526</v>
      </c>
      <c r="J40" s="672">
        <f t="shared" si="57"/>
        <v>28768</v>
      </c>
      <c r="K40" s="670">
        <f t="shared" si="57"/>
        <v>29889</v>
      </c>
      <c r="L40" s="671">
        <f t="shared" si="57"/>
        <v>27186.228</v>
      </c>
      <c r="M40" s="672">
        <f t="shared" si="57"/>
        <v>7239</v>
      </c>
      <c r="N40" s="670">
        <f t="shared" si="57"/>
        <v>20515</v>
      </c>
      <c r="O40" s="671">
        <f t="shared" si="57"/>
        <v>2078</v>
      </c>
      <c r="P40" s="672">
        <f t="shared" si="57"/>
        <v>0</v>
      </c>
      <c r="Q40" s="670">
        <f t="shared" si="57"/>
        <v>0</v>
      </c>
      <c r="R40" s="671">
        <f t="shared" si="57"/>
        <v>0</v>
      </c>
      <c r="S40" s="672">
        <f t="shared" si="57"/>
        <v>132974</v>
      </c>
      <c r="T40" s="670">
        <f t="shared" si="57"/>
        <v>160232.06</v>
      </c>
      <c r="U40" s="671">
        <f t="shared" si="57"/>
        <v>113489.786</v>
      </c>
      <c r="V40" s="672">
        <f t="shared" si="57"/>
        <v>1174541</v>
      </c>
      <c r="W40" s="673">
        <f t="shared" si="57"/>
        <v>1352891.9</v>
      </c>
      <c r="X40" s="674">
        <f t="shared" si="57"/>
        <v>955346.696</v>
      </c>
      <c r="Y40" s="676">
        <f t="shared" si="57"/>
        <v>364632</v>
      </c>
      <c r="Z40" s="677">
        <f t="shared" si="57"/>
        <v>445208</v>
      </c>
      <c r="AA40" s="674">
        <f t="shared" si="57"/>
        <v>383801.06000000006</v>
      </c>
      <c r="AB40" s="676">
        <f t="shared" si="57"/>
        <v>3881</v>
      </c>
      <c r="AC40" s="677">
        <f t="shared" si="57"/>
        <v>3881</v>
      </c>
      <c r="AD40" s="674">
        <f t="shared" si="57"/>
        <v>3881</v>
      </c>
      <c r="AE40" s="676">
        <f t="shared" si="57"/>
        <v>329851</v>
      </c>
      <c r="AF40" s="677">
        <f t="shared" si="57"/>
        <v>365951</v>
      </c>
      <c r="AG40" s="674">
        <f t="shared" si="57"/>
        <v>365951</v>
      </c>
      <c r="AH40" s="676">
        <f t="shared" si="57"/>
        <v>887815</v>
      </c>
      <c r="AI40" s="677">
        <f t="shared" si="57"/>
        <v>911656</v>
      </c>
      <c r="AJ40" s="674">
        <f t="shared" si="57"/>
        <v>775053.265</v>
      </c>
      <c r="AK40" s="676">
        <f t="shared" si="57"/>
        <v>0</v>
      </c>
      <c r="AL40" s="677">
        <f t="shared" si="57"/>
        <v>0</v>
      </c>
      <c r="AM40" s="674">
        <f t="shared" si="57"/>
        <v>0</v>
      </c>
      <c r="AN40" s="676">
        <f t="shared" si="57"/>
        <v>7000</v>
      </c>
      <c r="AO40" s="677">
        <f t="shared" si="57"/>
        <v>163631</v>
      </c>
      <c r="AP40" s="674">
        <f t="shared" si="57"/>
        <v>66746.152</v>
      </c>
      <c r="AQ40" s="676">
        <f t="shared" si="57"/>
        <v>19000</v>
      </c>
      <c r="AR40" s="677">
        <f t="shared" si="57"/>
        <v>61060</v>
      </c>
      <c r="AS40" s="674">
        <f t="shared" si="57"/>
        <v>20139</v>
      </c>
      <c r="AT40" s="676">
        <f t="shared" si="57"/>
        <v>12000</v>
      </c>
      <c r="AU40" s="677">
        <f t="shared" si="57"/>
        <v>12900</v>
      </c>
      <c r="AV40" s="674">
        <f t="shared" si="57"/>
        <v>12900</v>
      </c>
      <c r="AW40" s="676">
        <f t="shared" si="57"/>
        <v>1418482</v>
      </c>
      <c r="AX40" s="677">
        <f t="shared" si="57"/>
        <v>1592469.66</v>
      </c>
      <c r="AY40" s="674">
        <f t="shared" si="57"/>
        <v>1481139.311</v>
      </c>
      <c r="AZ40" s="676">
        <f t="shared" si="57"/>
        <v>100000</v>
      </c>
      <c r="BA40" s="677">
        <f t="shared" si="57"/>
        <v>83300</v>
      </c>
      <c r="BB40" s="674">
        <f t="shared" si="57"/>
        <v>9265</v>
      </c>
      <c r="BC40" s="676">
        <f t="shared" si="57"/>
        <v>1644397</v>
      </c>
      <c r="BD40" s="677">
        <f t="shared" si="57"/>
        <v>1357333.147</v>
      </c>
      <c r="BE40" s="674">
        <f t="shared" si="57"/>
        <v>382836.04099999997</v>
      </c>
      <c r="BF40" s="676">
        <f t="shared" si="57"/>
        <v>279147</v>
      </c>
      <c r="BG40" s="677">
        <f t="shared" si="57"/>
        <v>1085232</v>
      </c>
      <c r="BH40" s="674">
        <f t="shared" si="57"/>
        <v>1006924.574</v>
      </c>
      <c r="BI40" s="676">
        <f aca="true" t="shared" si="58" ref="BI40:CN40">BI35+BI38+BI39</f>
        <v>7848977</v>
      </c>
      <c r="BJ40" s="677">
        <f t="shared" si="58"/>
        <v>10325546.702</v>
      </c>
      <c r="BK40" s="674">
        <f t="shared" si="58"/>
        <v>7203188.021000001</v>
      </c>
      <c r="BL40" s="676">
        <f t="shared" si="58"/>
        <v>1270</v>
      </c>
      <c r="BM40" s="677">
        <f t="shared" si="58"/>
        <v>1508</v>
      </c>
      <c r="BN40" s="674">
        <f t="shared" si="58"/>
        <v>1283.121</v>
      </c>
      <c r="BO40" s="676">
        <f t="shared" si="58"/>
        <v>110080</v>
      </c>
      <c r="BP40" s="677">
        <f t="shared" si="58"/>
        <v>131557</v>
      </c>
      <c r="BQ40" s="674">
        <f t="shared" si="58"/>
        <v>108240</v>
      </c>
      <c r="BR40" s="676">
        <f t="shared" si="58"/>
        <v>58800</v>
      </c>
      <c r="BS40" s="677">
        <f t="shared" si="58"/>
        <v>58800</v>
      </c>
      <c r="BT40" s="674">
        <f t="shared" si="58"/>
        <v>58800</v>
      </c>
      <c r="BU40" s="676">
        <f t="shared" si="58"/>
        <v>27620</v>
      </c>
      <c r="BV40" s="677">
        <f t="shared" si="58"/>
        <v>36848</v>
      </c>
      <c r="BW40" s="674">
        <f t="shared" si="58"/>
        <v>15500.085</v>
      </c>
      <c r="BX40" s="676">
        <f t="shared" si="58"/>
        <v>5080</v>
      </c>
      <c r="BY40" s="677">
        <f t="shared" si="58"/>
        <v>5080</v>
      </c>
      <c r="BZ40" s="674">
        <f t="shared" si="58"/>
        <v>0</v>
      </c>
      <c r="CA40" s="676">
        <f t="shared" si="58"/>
        <v>69644</v>
      </c>
      <c r="CB40" s="677">
        <f t="shared" si="58"/>
        <v>83882</v>
      </c>
      <c r="CC40" s="674">
        <f t="shared" si="58"/>
        <v>79431.14600000001</v>
      </c>
      <c r="CD40" s="676">
        <f t="shared" si="58"/>
        <v>380730</v>
      </c>
      <c r="CE40" s="677">
        <f t="shared" si="58"/>
        <v>749860</v>
      </c>
      <c r="CF40" s="674">
        <f t="shared" si="58"/>
        <v>219496.85799999998</v>
      </c>
      <c r="CG40" s="676">
        <f t="shared" si="58"/>
        <v>250</v>
      </c>
      <c r="CH40" s="677">
        <f t="shared" si="58"/>
        <v>250</v>
      </c>
      <c r="CI40" s="674">
        <f t="shared" si="58"/>
        <v>75</v>
      </c>
      <c r="CJ40" s="676">
        <f t="shared" si="58"/>
        <v>125960</v>
      </c>
      <c r="CK40" s="677">
        <f t="shared" si="58"/>
        <v>213343</v>
      </c>
      <c r="CL40" s="674">
        <f t="shared" si="58"/>
        <v>136824.227</v>
      </c>
      <c r="CM40" s="676">
        <f t="shared" si="58"/>
        <v>779434</v>
      </c>
      <c r="CN40" s="677">
        <f t="shared" si="58"/>
        <v>1281128</v>
      </c>
      <c r="CO40" s="674">
        <f aca="true" t="shared" si="59" ref="CO40:DP40">CO35+CO38+CO39</f>
        <v>619650.437</v>
      </c>
      <c r="CP40" s="679">
        <f t="shared" si="59"/>
        <v>8628411</v>
      </c>
      <c r="CQ40" s="677">
        <f t="shared" si="59"/>
        <v>11606674.702</v>
      </c>
      <c r="CR40" s="674">
        <f t="shared" si="59"/>
        <v>7822838.458000001</v>
      </c>
      <c r="CS40" s="676">
        <f t="shared" si="59"/>
        <v>173931</v>
      </c>
      <c r="CT40" s="677">
        <f t="shared" si="59"/>
        <v>168206</v>
      </c>
      <c r="CU40" s="674">
        <f t="shared" si="59"/>
        <v>164491</v>
      </c>
      <c r="CV40" s="676">
        <f t="shared" si="59"/>
        <v>56825</v>
      </c>
      <c r="CW40" s="677">
        <f t="shared" si="59"/>
        <v>62380</v>
      </c>
      <c r="CX40" s="674">
        <f t="shared" si="59"/>
        <v>55230</v>
      </c>
      <c r="CY40" s="676">
        <f t="shared" si="59"/>
        <v>88834</v>
      </c>
      <c r="CZ40" s="677">
        <f t="shared" si="59"/>
        <v>89316</v>
      </c>
      <c r="DA40" s="674">
        <f t="shared" si="59"/>
        <v>86601</v>
      </c>
      <c r="DB40" s="672">
        <f t="shared" si="59"/>
        <v>2224877</v>
      </c>
      <c r="DC40" s="675">
        <f t="shared" si="59"/>
        <v>2707582.093</v>
      </c>
      <c r="DD40" s="674">
        <f t="shared" si="59"/>
        <v>2238928.802</v>
      </c>
      <c r="DE40" s="676">
        <f t="shared" si="59"/>
        <v>2544467</v>
      </c>
      <c r="DF40" s="678">
        <f t="shared" si="59"/>
        <v>3027484.093</v>
      </c>
      <c r="DG40" s="670">
        <f t="shared" si="59"/>
        <v>2545250.802</v>
      </c>
      <c r="DH40" s="672">
        <f t="shared" si="59"/>
        <v>2262695</v>
      </c>
      <c r="DI40" s="675">
        <f t="shared" si="59"/>
        <v>2817345.751</v>
      </c>
      <c r="DJ40" s="674">
        <f t="shared" si="59"/>
        <v>2659713</v>
      </c>
      <c r="DK40" s="672">
        <f t="shared" si="59"/>
        <v>1312764</v>
      </c>
      <c r="DL40" s="675">
        <f t="shared" si="59"/>
        <v>1548439.4</v>
      </c>
      <c r="DM40" s="674">
        <f t="shared" si="59"/>
        <v>1521742</v>
      </c>
      <c r="DN40" s="676">
        <f t="shared" si="59"/>
        <v>14748337</v>
      </c>
      <c r="DO40" s="678">
        <f t="shared" si="59"/>
        <v>18999943.946</v>
      </c>
      <c r="DP40" s="670">
        <f t="shared" si="59"/>
        <v>14549544.260000002</v>
      </c>
      <c r="DQ40" s="685">
        <f>DP40/DO40*100</f>
        <v>76.57677465444877</v>
      </c>
    </row>
    <row r="41" spans="1:121" ht="30" customHeight="1" thickBot="1">
      <c r="A41" s="704"/>
      <c r="B41" s="1280" t="s">
        <v>264</v>
      </c>
      <c r="C41" s="1280"/>
      <c r="D41" s="672"/>
      <c r="E41" s="670"/>
      <c r="F41" s="671"/>
      <c r="G41" s="672"/>
      <c r="H41" s="670"/>
      <c r="I41" s="671"/>
      <c r="J41" s="672"/>
      <c r="K41" s="670"/>
      <c r="L41" s="671"/>
      <c r="M41" s="672"/>
      <c r="N41" s="670"/>
      <c r="O41" s="671"/>
      <c r="P41" s="672"/>
      <c r="Q41" s="670"/>
      <c r="R41" s="671"/>
      <c r="S41" s="672"/>
      <c r="T41" s="670"/>
      <c r="U41" s="671"/>
      <c r="V41" s="672"/>
      <c r="W41" s="673"/>
      <c r="X41" s="674"/>
      <c r="Y41" s="676"/>
      <c r="Z41" s="677"/>
      <c r="AA41" s="674"/>
      <c r="AB41" s="676"/>
      <c r="AC41" s="677"/>
      <c r="AD41" s="674"/>
      <c r="AE41" s="676"/>
      <c r="AF41" s="677"/>
      <c r="AG41" s="674"/>
      <c r="AH41" s="676"/>
      <c r="AI41" s="677"/>
      <c r="AJ41" s="674"/>
      <c r="AK41" s="676"/>
      <c r="AL41" s="677"/>
      <c r="AM41" s="674"/>
      <c r="AN41" s="676"/>
      <c r="AO41" s="677"/>
      <c r="AP41" s="674"/>
      <c r="AQ41" s="676"/>
      <c r="AR41" s="677"/>
      <c r="AS41" s="674"/>
      <c r="AT41" s="676"/>
      <c r="AU41" s="677"/>
      <c r="AV41" s="674"/>
      <c r="AW41" s="676"/>
      <c r="AX41" s="677"/>
      <c r="AY41" s="674"/>
      <c r="AZ41" s="676"/>
      <c r="BA41" s="677"/>
      <c r="BB41" s="674"/>
      <c r="BC41" s="676"/>
      <c r="BD41" s="677"/>
      <c r="BE41" s="674"/>
      <c r="BF41" s="676"/>
      <c r="BG41" s="677"/>
      <c r="BH41" s="674"/>
      <c r="BI41" s="676">
        <f aca="true" t="shared" si="60" ref="BI41:BK42">D41+G41+J41+M41+P41+S41+V41+Y41+AB41+AE41+AH41+AK41+AN41+AQ41+AT41+AW41+AZ41+BC41+BF41</f>
        <v>0</v>
      </c>
      <c r="BJ41" s="677">
        <f t="shared" si="60"/>
        <v>0</v>
      </c>
      <c r="BK41" s="674">
        <f t="shared" si="60"/>
        <v>0</v>
      </c>
      <c r="BL41" s="676"/>
      <c r="BM41" s="677"/>
      <c r="BN41" s="674"/>
      <c r="BO41" s="676"/>
      <c r="BP41" s="677"/>
      <c r="BQ41" s="674"/>
      <c r="BR41" s="676"/>
      <c r="BS41" s="677"/>
      <c r="BT41" s="674"/>
      <c r="BU41" s="676"/>
      <c r="BV41" s="677"/>
      <c r="BW41" s="674"/>
      <c r="BX41" s="676"/>
      <c r="BY41" s="677"/>
      <c r="BZ41" s="674"/>
      <c r="CA41" s="676"/>
      <c r="CB41" s="677"/>
      <c r="CC41" s="674"/>
      <c r="CD41" s="676"/>
      <c r="CE41" s="677"/>
      <c r="CF41" s="674"/>
      <c r="CG41" s="676"/>
      <c r="CH41" s="677"/>
      <c r="CI41" s="674"/>
      <c r="CJ41" s="676"/>
      <c r="CK41" s="677"/>
      <c r="CL41" s="674"/>
      <c r="CM41" s="676">
        <f aca="true" t="shared" si="61" ref="CM41:CO42">BL41+BO41+BR41+BU41+BX41+CA41+CD41+CG41+CJ41</f>
        <v>0</v>
      </c>
      <c r="CN41" s="677">
        <f t="shared" si="61"/>
        <v>0</v>
      </c>
      <c r="CO41" s="674">
        <f t="shared" si="61"/>
        <v>0</v>
      </c>
      <c r="CP41" s="679">
        <f>BI41+CM41</f>
        <v>0</v>
      </c>
      <c r="CQ41" s="677">
        <f>BJ41+CN41</f>
        <v>0</v>
      </c>
      <c r="CR41" s="674">
        <f>BK41+CO41</f>
        <v>0</v>
      </c>
      <c r="CS41" s="676"/>
      <c r="CT41" s="677"/>
      <c r="CU41" s="674"/>
      <c r="CV41" s="676">
        <v>10</v>
      </c>
      <c r="CW41" s="1949">
        <v>10</v>
      </c>
      <c r="CX41" s="674">
        <v>10</v>
      </c>
      <c r="CY41" s="676">
        <v>2</v>
      </c>
      <c r="CZ41" s="677">
        <v>2</v>
      </c>
      <c r="DA41" s="674">
        <v>2</v>
      </c>
      <c r="DB41" s="672">
        <v>361</v>
      </c>
      <c r="DC41" s="675">
        <v>361</v>
      </c>
      <c r="DD41" s="674">
        <v>343</v>
      </c>
      <c r="DE41" s="676">
        <f>CS41+CV41+CY41+DB41</f>
        <v>373</v>
      </c>
      <c r="DF41" s="678">
        <f>CT41+CW41+CZ41+DC41</f>
        <v>373</v>
      </c>
      <c r="DG41" s="670">
        <f>CU41+CX41+DA41+DD41</f>
        <v>355</v>
      </c>
      <c r="DH41" s="905">
        <v>663.5</v>
      </c>
      <c r="DI41" s="906">
        <v>755.5</v>
      </c>
      <c r="DJ41" s="907">
        <f>'6_sz_tábla K. '!R50</f>
        <v>726</v>
      </c>
      <c r="DK41" s="672">
        <v>293</v>
      </c>
      <c r="DL41" s="675">
        <v>293</v>
      </c>
      <c r="DM41" s="674">
        <v>287</v>
      </c>
      <c r="DN41" s="1024">
        <f aca="true" t="shared" si="62" ref="DN41:DP42">CP41+DE41+DH41+DK41</f>
        <v>1329.5</v>
      </c>
      <c r="DO41" s="908">
        <f t="shared" si="62"/>
        <v>1421.5</v>
      </c>
      <c r="DP41" s="909">
        <f t="shared" si="62"/>
        <v>1368</v>
      </c>
      <c r="DQ41" s="685">
        <f>DP41/DO41*100</f>
        <v>96.2363700316567</v>
      </c>
    </row>
    <row r="42" spans="1:121" ht="30" customHeight="1" thickBot="1">
      <c r="A42" s="704"/>
      <c r="B42" s="1280" t="s">
        <v>796</v>
      </c>
      <c r="C42" s="1280"/>
      <c r="D42" s="672"/>
      <c r="E42" s="670"/>
      <c r="F42" s="671"/>
      <c r="G42" s="672"/>
      <c r="H42" s="670"/>
      <c r="I42" s="671"/>
      <c r="J42" s="672"/>
      <c r="K42" s="670"/>
      <c r="L42" s="671"/>
      <c r="M42" s="672"/>
      <c r="N42" s="670"/>
      <c r="O42" s="671"/>
      <c r="P42" s="672"/>
      <c r="Q42" s="670"/>
      <c r="R42" s="671"/>
      <c r="S42" s="672"/>
      <c r="T42" s="670"/>
      <c r="U42" s="671"/>
      <c r="V42" s="672"/>
      <c r="W42" s="673"/>
      <c r="X42" s="674"/>
      <c r="Y42" s="676"/>
      <c r="Z42" s="677"/>
      <c r="AA42" s="674"/>
      <c r="AB42" s="676"/>
      <c r="AC42" s="677"/>
      <c r="AD42" s="674"/>
      <c r="AE42" s="676"/>
      <c r="AF42" s="677"/>
      <c r="AG42" s="674"/>
      <c r="AH42" s="676"/>
      <c r="AI42" s="677"/>
      <c r="AJ42" s="674"/>
      <c r="AK42" s="676"/>
      <c r="AL42" s="677"/>
      <c r="AM42" s="674"/>
      <c r="AN42" s="676"/>
      <c r="AO42" s="677"/>
      <c r="AP42" s="674"/>
      <c r="AQ42" s="676"/>
      <c r="AR42" s="677"/>
      <c r="AS42" s="674"/>
      <c r="AT42" s="676"/>
      <c r="AU42" s="677"/>
      <c r="AV42" s="674"/>
      <c r="AW42" s="676"/>
      <c r="AX42" s="677"/>
      <c r="AY42" s="674"/>
      <c r="AZ42" s="676"/>
      <c r="BA42" s="677"/>
      <c r="BB42" s="674"/>
      <c r="BC42" s="676"/>
      <c r="BD42" s="677"/>
      <c r="BE42" s="674"/>
      <c r="BF42" s="676"/>
      <c r="BG42" s="677"/>
      <c r="BH42" s="674"/>
      <c r="BI42" s="676">
        <f t="shared" si="60"/>
        <v>0</v>
      </c>
      <c r="BJ42" s="677">
        <f t="shared" si="60"/>
        <v>0</v>
      </c>
      <c r="BK42" s="674">
        <f t="shared" si="60"/>
        <v>0</v>
      </c>
      <c r="BL42" s="676"/>
      <c r="BM42" s="677"/>
      <c r="BN42" s="674"/>
      <c r="BO42" s="676"/>
      <c r="BP42" s="677"/>
      <c r="BQ42" s="674"/>
      <c r="BR42" s="676"/>
      <c r="BS42" s="677"/>
      <c r="BT42" s="674"/>
      <c r="BU42" s="676"/>
      <c r="BV42" s="677"/>
      <c r="BW42" s="674"/>
      <c r="BX42" s="676"/>
      <c r="BY42" s="677"/>
      <c r="BZ42" s="674"/>
      <c r="CA42" s="676"/>
      <c r="CB42" s="677"/>
      <c r="CC42" s="674"/>
      <c r="CD42" s="676"/>
      <c r="CE42" s="677"/>
      <c r="CF42" s="674"/>
      <c r="CG42" s="676"/>
      <c r="CH42" s="677"/>
      <c r="CI42" s="674"/>
      <c r="CJ42" s="676"/>
      <c r="CK42" s="677"/>
      <c r="CL42" s="674"/>
      <c r="CM42" s="676">
        <f t="shared" si="61"/>
        <v>0</v>
      </c>
      <c r="CN42" s="677">
        <f t="shared" si="61"/>
        <v>0</v>
      </c>
      <c r="CO42" s="674">
        <f t="shared" si="61"/>
        <v>0</v>
      </c>
      <c r="CP42" s="679">
        <f t="shared" si="12"/>
        <v>0</v>
      </c>
      <c r="CQ42" s="677">
        <f t="shared" si="36"/>
        <v>0</v>
      </c>
      <c r="CR42" s="674">
        <f t="shared" si="10"/>
        <v>0</v>
      </c>
      <c r="CS42" s="676"/>
      <c r="CT42" s="677"/>
      <c r="CU42" s="674"/>
      <c r="CV42" s="676"/>
      <c r="CW42" s="1949"/>
      <c r="CX42" s="674"/>
      <c r="CY42" s="676"/>
      <c r="CZ42" s="677"/>
      <c r="DA42" s="674"/>
      <c r="DB42" s="672">
        <v>13</v>
      </c>
      <c r="DC42" s="675">
        <v>13</v>
      </c>
      <c r="DD42" s="674">
        <v>8</v>
      </c>
      <c r="DE42" s="676">
        <f>CS42+CY42+DB42</f>
        <v>13</v>
      </c>
      <c r="DF42" s="678">
        <f>CT42+CZ42+DC42</f>
        <v>13</v>
      </c>
      <c r="DG42" s="670">
        <f>CU42+DA42+DD42</f>
        <v>8</v>
      </c>
      <c r="DH42" s="905"/>
      <c r="DI42" s="906"/>
      <c r="DJ42" s="907">
        <f>'6_sz_tábla K. '!S50</f>
        <v>4</v>
      </c>
      <c r="DK42" s="672"/>
      <c r="DL42" s="675"/>
      <c r="DM42" s="674"/>
      <c r="DN42" s="1024">
        <f t="shared" si="62"/>
        <v>13</v>
      </c>
      <c r="DO42" s="908">
        <v>13</v>
      </c>
      <c r="DP42" s="909">
        <f t="shared" si="62"/>
        <v>12</v>
      </c>
      <c r="DQ42" s="685">
        <f>DP42/DO42*100</f>
        <v>92.3076923076923</v>
      </c>
    </row>
    <row r="43" spans="71:121" s="128" customFormat="1" ht="24.75" customHeight="1" hidden="1">
      <c r="BS43" s="129"/>
      <c r="BV43" s="129"/>
      <c r="BY43" s="129"/>
      <c r="CB43" s="129"/>
      <c r="CE43" s="129"/>
      <c r="CH43" s="129"/>
      <c r="CK43" s="129"/>
      <c r="CN43" s="129"/>
      <c r="CP43" s="130"/>
      <c r="CQ43" s="130"/>
      <c r="CR43" s="4"/>
      <c r="CS43" s="4"/>
      <c r="CT43" s="130"/>
      <c r="CU43" s="5"/>
      <c r="CV43" s="5"/>
      <c r="CW43" s="5"/>
      <c r="CX43" s="5"/>
      <c r="CY43" s="127" t="s">
        <v>489</v>
      </c>
      <c r="CZ43" s="3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156">
        <f>6826983+86058</f>
        <v>6913041</v>
      </c>
      <c r="DO43" s="153">
        <f>7119360+122575</f>
        <v>7241935</v>
      </c>
      <c r="DP43" s="131">
        <f>3656572+9120</f>
        <v>3665692</v>
      </c>
      <c r="DQ43" s="132"/>
    </row>
    <row r="44" spans="20:121" s="128" customFormat="1" ht="19.5" customHeight="1" hidden="1">
      <c r="T44" s="133"/>
      <c r="U44" s="133"/>
      <c r="CP44" s="4"/>
      <c r="CQ44" s="4"/>
      <c r="CR44" s="4"/>
      <c r="CS44" s="5"/>
      <c r="CT44" s="5"/>
      <c r="CU44" s="5"/>
      <c r="CV44" s="5"/>
      <c r="CW44" s="5"/>
      <c r="CX44" s="5"/>
      <c r="CY44" s="127" t="s">
        <v>1046</v>
      </c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>
        <f>SUM(DN39:DN43)</f>
        <v>21662720.5</v>
      </c>
      <c r="DO44" s="13">
        <f>SUM(DO39:DO43)</f>
        <v>26243313.446</v>
      </c>
      <c r="DP44" s="13">
        <f>SUM(DP39:DP43)</f>
        <v>18128418.26</v>
      </c>
      <c r="DQ44" s="134"/>
    </row>
    <row r="45" spans="94:120" ht="19.5" customHeight="1" hidden="1">
      <c r="CP45" s="5"/>
      <c r="CQ45" s="5"/>
      <c r="CR45" s="5"/>
      <c r="DA45" s="576" t="s">
        <v>887</v>
      </c>
      <c r="DB45" s="576"/>
      <c r="DC45" s="576"/>
      <c r="DD45" s="576"/>
      <c r="DE45" s="576"/>
      <c r="DF45" s="576"/>
      <c r="DG45" s="576"/>
      <c r="DH45" s="576"/>
      <c r="DI45" s="576"/>
      <c r="DJ45" s="576"/>
      <c r="DK45" s="576"/>
      <c r="DL45" s="576"/>
      <c r="DM45" s="576"/>
      <c r="DN45" s="5" t="e">
        <f>DN14+DN18+DN21+DN24+DN25+DN26+DN30+DN31+#REF!+DN32+DN37+DN39</f>
        <v>#REF!</v>
      </c>
      <c r="DO45" s="5" t="e">
        <f>DO14+DO18+DO21+DO24+DO25+DO26+DO30+DO31+#REF!+DO32+DO37+DO39</f>
        <v>#REF!</v>
      </c>
      <c r="DP45" s="5" t="e">
        <f>DP14+DP18+DP21+DP24+DP25+DP26+DP30+DP31+#REF!+DP32+DP37+DP39</f>
        <v>#REF!</v>
      </c>
    </row>
    <row r="46" spans="103:119" ht="12.75" hidden="1">
      <c r="CY46" s="86" t="s">
        <v>209</v>
      </c>
      <c r="DO46" s="86">
        <v>2256702</v>
      </c>
    </row>
    <row r="47" spans="94:119" ht="12.75" hidden="1">
      <c r="CP47" s="125"/>
      <c r="CQ47" s="125"/>
      <c r="CR47" s="125"/>
      <c r="CY47" s="86" t="s">
        <v>210</v>
      </c>
      <c r="DO47" s="125">
        <f>DO44+DO46</f>
        <v>28500015.446</v>
      </c>
    </row>
    <row r="48" ht="12.75" hidden="1"/>
  </sheetData>
  <sheetProtection/>
  <mergeCells count="110">
    <mergeCell ref="CA9:CC9"/>
    <mergeCell ref="BF8:BH8"/>
    <mergeCell ref="BF9:BH9"/>
    <mergeCell ref="BL8:BN8"/>
    <mergeCell ref="BO9:BQ9"/>
    <mergeCell ref="BO8:BQ8"/>
    <mergeCell ref="BR9:BT9"/>
    <mergeCell ref="BU8:BW8"/>
    <mergeCell ref="BR8:BT8"/>
    <mergeCell ref="BX8:BZ8"/>
    <mergeCell ref="G11:H11"/>
    <mergeCell ref="Y11:Z11"/>
    <mergeCell ref="D11:E11"/>
    <mergeCell ref="V11:W11"/>
    <mergeCell ref="S11:T11"/>
    <mergeCell ref="P11:Q11"/>
    <mergeCell ref="M11:N11"/>
    <mergeCell ref="J11:K11"/>
    <mergeCell ref="BL9:BN9"/>
    <mergeCell ref="BI9:BK9"/>
    <mergeCell ref="BI8:BK8"/>
    <mergeCell ref="AQ11:AR11"/>
    <mergeCell ref="BI11:BJ11"/>
    <mergeCell ref="AW11:AX11"/>
    <mergeCell ref="AT11:AU11"/>
    <mergeCell ref="BC9:BE9"/>
    <mergeCell ref="AW9:AY9"/>
    <mergeCell ref="AE11:AF11"/>
    <mergeCell ref="BF11:BG11"/>
    <mergeCell ref="BC11:BD11"/>
    <mergeCell ref="AZ11:BA11"/>
    <mergeCell ref="AB11:AC11"/>
    <mergeCell ref="BL11:BM11"/>
    <mergeCell ref="AN11:AO11"/>
    <mergeCell ref="AK11:AL11"/>
    <mergeCell ref="AH11:AI11"/>
    <mergeCell ref="CD11:CE11"/>
    <mergeCell ref="CA11:CB11"/>
    <mergeCell ref="BX11:BY11"/>
    <mergeCell ref="BU11:BV11"/>
    <mergeCell ref="BR11:BS11"/>
    <mergeCell ref="BO11:BP11"/>
    <mergeCell ref="CP11:CQ11"/>
    <mergeCell ref="CV8:CX8"/>
    <mergeCell ref="CV9:CX9"/>
    <mergeCell ref="CV11:CW11"/>
    <mergeCell ref="CY11:CZ11"/>
    <mergeCell ref="CG11:CH11"/>
    <mergeCell ref="CG9:CI9"/>
    <mergeCell ref="CG8:CI8"/>
    <mergeCell ref="CM11:CN11"/>
    <mergeCell ref="CJ11:CK11"/>
    <mergeCell ref="AN8:AP8"/>
    <mergeCell ref="AT8:AV8"/>
    <mergeCell ref="AW8:AY8"/>
    <mergeCell ref="AQ8:AS8"/>
    <mergeCell ref="AZ8:BB8"/>
    <mergeCell ref="BC8:BE8"/>
    <mergeCell ref="D5:X5"/>
    <mergeCell ref="S9:U9"/>
    <mergeCell ref="D8:F8"/>
    <mergeCell ref="D9:F9"/>
    <mergeCell ref="G8:I8"/>
    <mergeCell ref="V8:X8"/>
    <mergeCell ref="V9:X9"/>
    <mergeCell ref="M8:O8"/>
    <mergeCell ref="P9:R9"/>
    <mergeCell ref="AK8:AM8"/>
    <mergeCell ref="AK9:AM9"/>
    <mergeCell ref="AB8:AD8"/>
    <mergeCell ref="AE8:AG8"/>
    <mergeCell ref="Y9:AA9"/>
    <mergeCell ref="D6:X6"/>
    <mergeCell ref="CP8:CR8"/>
    <mergeCell ref="CP9:CR9"/>
    <mergeCell ref="CM9:CO9"/>
    <mergeCell ref="DH9:DJ9"/>
    <mergeCell ref="DE9:DG9"/>
    <mergeCell ref="P8:R8"/>
    <mergeCell ref="S8:U8"/>
    <mergeCell ref="AB9:AD9"/>
    <mergeCell ref="AN9:AP9"/>
    <mergeCell ref="AE9:AG9"/>
    <mergeCell ref="CS11:CT11"/>
    <mergeCell ref="CY8:DA8"/>
    <mergeCell ref="DN8:DP8"/>
    <mergeCell ref="DN9:DP9"/>
    <mergeCell ref="DK8:DM8"/>
    <mergeCell ref="DK9:DM9"/>
    <mergeCell ref="DH8:DJ8"/>
    <mergeCell ref="CJ8:CL8"/>
    <mergeCell ref="CD8:CF8"/>
    <mergeCell ref="CD9:CF9"/>
    <mergeCell ref="DB11:DC11"/>
    <mergeCell ref="DN11:DO11"/>
    <mergeCell ref="DK11:DL11"/>
    <mergeCell ref="DH11:DI11"/>
    <mergeCell ref="DE11:DF11"/>
    <mergeCell ref="DE8:DG8"/>
    <mergeCell ref="CS8:CU8"/>
    <mergeCell ref="CA8:CC8"/>
    <mergeCell ref="M9:O9"/>
    <mergeCell ref="CJ9:CL9"/>
    <mergeCell ref="CY9:DA9"/>
    <mergeCell ref="DB9:DD9"/>
    <mergeCell ref="CS9:CU9"/>
    <mergeCell ref="AH8:AJ8"/>
    <mergeCell ref="Y8:AA8"/>
    <mergeCell ref="DB8:DD8"/>
    <mergeCell ref="CM8:CO8"/>
  </mergeCells>
  <printOptions horizontalCentered="1" verticalCentered="1"/>
  <pageMargins left="0.15748031496062992" right="0.15748031496062992" top="0.31496062992125984" bottom="0.2362204724409449" header="0.15748031496062992" footer="0.15748031496062992"/>
  <pageSetup horizontalDpi="300" verticalDpi="300" orientation="landscape" paperSize="9" scale="54" r:id="rId3"/>
  <colBreaks count="5" manualBreakCount="5">
    <brk id="24" min="1" max="41" man="1"/>
    <brk id="45" min="1" max="41" man="1"/>
    <brk id="63" min="1" max="41" man="1"/>
    <brk id="84" min="1" max="41" man="1"/>
    <brk id="105" min="1" max="3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X104"/>
  <sheetViews>
    <sheetView zoomScaleSheetLayoutView="80" zoomScalePageLayoutView="0" workbookViewId="0" topLeftCell="A1">
      <selection activeCell="D17" sqref="D17"/>
    </sheetView>
  </sheetViews>
  <sheetFormatPr defaultColWidth="9.00390625" defaultRowHeight="12.75"/>
  <cols>
    <col min="1" max="1" width="5.75390625" style="135" customWidth="1"/>
    <col min="2" max="2" width="58.75390625" style="135" customWidth="1"/>
    <col min="3" max="3" width="4.875" style="135" hidden="1" customWidth="1"/>
    <col min="4" max="27" width="9.75390625" style="135" customWidth="1"/>
    <col min="28" max="30" width="8.75390625" style="135" customWidth="1"/>
    <col min="31" max="33" width="10.75390625" style="135" customWidth="1"/>
    <col min="34" max="51" width="9.75390625" style="135" customWidth="1"/>
    <col min="52" max="54" width="8.75390625" style="135" customWidth="1"/>
    <col min="55" max="60" width="9.75390625" style="135" customWidth="1"/>
    <col min="61" max="63" width="10.75390625" style="135" customWidth="1"/>
    <col min="64" max="69" width="9.75390625" style="135" customWidth="1"/>
    <col min="70" max="72" width="8.75390625" style="135" customWidth="1"/>
    <col min="73" max="75" width="9.75390625" style="135" customWidth="1"/>
    <col min="76" max="87" width="8.75390625" style="135" customWidth="1"/>
    <col min="88" max="90" width="9.75390625" style="135" customWidth="1"/>
    <col min="91" max="93" width="8.75390625" style="135" customWidth="1"/>
    <col min="94" max="96" width="12.75390625" style="135" customWidth="1"/>
    <col min="97" max="102" width="8.75390625" style="135" customWidth="1"/>
    <col min="103" max="105" width="8.875" style="135" customWidth="1"/>
    <col min="106" max="108" width="9.25390625" style="135" customWidth="1"/>
    <col min="109" max="111" width="11.75390625" style="135" customWidth="1"/>
    <col min="112" max="117" width="10.75390625" style="135" customWidth="1"/>
    <col min="118" max="120" width="15.75390625" style="136" customWidth="1"/>
    <col min="121" max="121" width="10.75390625" style="135" customWidth="1"/>
    <col min="122" max="123" width="9.125" style="135" customWidth="1"/>
    <col min="124" max="124" width="12.125" style="135" customWidth="1"/>
    <col min="125" max="218" width="9.125" style="135" customWidth="1"/>
    <col min="219" max="232" width="9.125" style="154" customWidth="1"/>
    <col min="233" max="16384" width="9.125" style="135" customWidth="1"/>
  </cols>
  <sheetData>
    <row r="1" ht="17.25" customHeight="1" thickBot="1"/>
    <row r="2" spans="4:121" ht="22.5" customHeight="1" hidden="1">
      <c r="D2" s="1135"/>
      <c r="R2" s="543" t="s">
        <v>1072</v>
      </c>
      <c r="AG2" s="543"/>
      <c r="AJ2" s="543"/>
      <c r="AY2" s="543" t="s">
        <v>900</v>
      </c>
      <c r="BZ2" s="543" t="s">
        <v>901</v>
      </c>
      <c r="DQ2" s="543" t="s">
        <v>902</v>
      </c>
    </row>
    <row r="3" spans="4:36" ht="17.25" customHeight="1" hidden="1">
      <c r="D3" s="1135"/>
      <c r="R3" s="544" t="s">
        <v>71</v>
      </c>
      <c r="AG3" s="544"/>
      <c r="AJ3" s="544"/>
    </row>
    <row r="4" spans="18:121" ht="13.5" hidden="1" thickBot="1">
      <c r="R4" s="687" t="s">
        <v>1015</v>
      </c>
      <c r="AA4" s="687" t="s">
        <v>235</v>
      </c>
      <c r="AG4" s="687"/>
      <c r="AJ4" s="687"/>
      <c r="AL4" s="687"/>
      <c r="AM4" s="687" t="s">
        <v>236</v>
      </c>
      <c r="AV4" s="687"/>
      <c r="BB4" s="687"/>
      <c r="BK4" s="687" t="s">
        <v>235</v>
      </c>
      <c r="BQ4" s="687"/>
      <c r="BT4" s="687"/>
      <c r="BW4" s="687"/>
      <c r="CC4" s="687"/>
      <c r="CI4" s="687" t="s">
        <v>236</v>
      </c>
      <c r="CR4" s="687" t="s">
        <v>237</v>
      </c>
      <c r="DE4" s="687"/>
      <c r="DQ4" s="687" t="s">
        <v>238</v>
      </c>
    </row>
    <row r="5" spans="1:36" ht="12.75" customHeight="1" hidden="1">
      <c r="A5" s="791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B5" s="791"/>
      <c r="AC5" s="791"/>
      <c r="AD5" s="791"/>
      <c r="AE5" s="791"/>
      <c r="AF5" s="791"/>
      <c r="AG5" s="791"/>
      <c r="AH5" s="791"/>
      <c r="AI5" s="791"/>
      <c r="AJ5" s="791"/>
    </row>
    <row r="6" spans="4:218" ht="13.5" hidden="1" thickBot="1"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687" t="s">
        <v>72</v>
      </c>
      <c r="S6" s="103"/>
      <c r="T6" s="103"/>
      <c r="U6" s="103"/>
      <c r="X6" s="556"/>
      <c r="AA6" s="687" t="s">
        <v>72</v>
      </c>
      <c r="AM6" s="687" t="s">
        <v>72</v>
      </c>
      <c r="AY6" s="687" t="s">
        <v>72</v>
      </c>
      <c r="BH6" s="687" t="s">
        <v>72</v>
      </c>
      <c r="BQ6" s="687" t="s">
        <v>72</v>
      </c>
      <c r="BZ6" s="687" t="s">
        <v>72</v>
      </c>
      <c r="CI6" s="687" t="s">
        <v>72</v>
      </c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</row>
    <row r="7" spans="1:218" ht="12.75" customHeight="1">
      <c r="A7" s="137" t="s">
        <v>878</v>
      </c>
      <c r="B7" s="137" t="s">
        <v>878</v>
      </c>
      <c r="C7" s="140"/>
      <c r="D7" s="2198" t="s">
        <v>1083</v>
      </c>
      <c r="E7" s="2200"/>
      <c r="F7" s="2201"/>
      <c r="G7" s="2198" t="s">
        <v>397</v>
      </c>
      <c r="H7" s="2200"/>
      <c r="I7" s="2201"/>
      <c r="J7" s="105" t="s">
        <v>1085</v>
      </c>
      <c r="K7" s="106"/>
      <c r="L7" s="1952"/>
      <c r="M7" s="2198" t="s">
        <v>1086</v>
      </c>
      <c r="N7" s="2199"/>
      <c r="O7" s="2199"/>
      <c r="P7" s="2198" t="s">
        <v>1088</v>
      </c>
      <c r="Q7" s="2199"/>
      <c r="R7" s="2205"/>
      <c r="S7" s="2198" t="s">
        <v>1089</v>
      </c>
      <c r="T7" s="2199"/>
      <c r="U7" s="2205"/>
      <c r="V7" s="2198" t="s">
        <v>1090</v>
      </c>
      <c r="W7" s="2200"/>
      <c r="X7" s="2201"/>
      <c r="Y7" s="2198" t="s">
        <v>790</v>
      </c>
      <c r="Z7" s="2199"/>
      <c r="AA7" s="2199"/>
      <c r="AB7" s="2198" t="s">
        <v>1091</v>
      </c>
      <c r="AC7" s="2199"/>
      <c r="AD7" s="2205"/>
      <c r="AE7" s="2198" t="s">
        <v>792</v>
      </c>
      <c r="AF7" s="2199"/>
      <c r="AG7" s="2199"/>
      <c r="AH7" s="2198" t="s">
        <v>1092</v>
      </c>
      <c r="AI7" s="2199"/>
      <c r="AJ7" s="2199"/>
      <c r="AK7" s="2198" t="s">
        <v>1093</v>
      </c>
      <c r="AL7" s="2200"/>
      <c r="AM7" s="2201"/>
      <c r="AN7" s="2198" t="s">
        <v>1094</v>
      </c>
      <c r="AO7" s="2200"/>
      <c r="AP7" s="2201"/>
      <c r="AQ7" s="2198" t="s">
        <v>1095</v>
      </c>
      <c r="AR7" s="2200"/>
      <c r="AS7" s="2201"/>
      <c r="AT7" s="2198" t="s">
        <v>1096</v>
      </c>
      <c r="AU7" s="2200"/>
      <c r="AV7" s="2201"/>
      <c r="AW7" s="2221" t="s">
        <v>1097</v>
      </c>
      <c r="AX7" s="2222"/>
      <c r="AY7" s="2223"/>
      <c r="AZ7" s="2198" t="s">
        <v>398</v>
      </c>
      <c r="BA7" s="2199"/>
      <c r="BB7" s="2205"/>
      <c r="BC7" s="2198" t="s">
        <v>1099</v>
      </c>
      <c r="BD7" s="2199"/>
      <c r="BE7" s="2205"/>
      <c r="BF7" s="2221" t="s">
        <v>1101</v>
      </c>
      <c r="BG7" s="2222"/>
      <c r="BH7" s="2223"/>
      <c r="BI7" s="2235" t="s">
        <v>779</v>
      </c>
      <c r="BJ7" s="2236"/>
      <c r="BK7" s="2237"/>
      <c r="BL7" s="2221" t="s">
        <v>218</v>
      </c>
      <c r="BM7" s="2222"/>
      <c r="BN7" s="2223"/>
      <c r="BO7" s="2221" t="s">
        <v>780</v>
      </c>
      <c r="BP7" s="2222"/>
      <c r="BQ7" s="2223"/>
      <c r="BR7" s="2198" t="s">
        <v>782</v>
      </c>
      <c r="BS7" s="2199"/>
      <c r="BT7" s="2205"/>
      <c r="BU7" s="2190" t="s">
        <v>784</v>
      </c>
      <c r="BV7" s="2191"/>
      <c r="BW7" s="2192"/>
      <c r="BX7" s="2190" t="s">
        <v>129</v>
      </c>
      <c r="BY7" s="2191"/>
      <c r="BZ7" s="2192"/>
      <c r="CA7" s="2190" t="s">
        <v>219</v>
      </c>
      <c r="CB7" s="2191"/>
      <c r="CC7" s="2192"/>
      <c r="CD7" s="2190" t="s">
        <v>786</v>
      </c>
      <c r="CE7" s="2191"/>
      <c r="CF7" s="2192"/>
      <c r="CG7" s="2227" t="s">
        <v>66</v>
      </c>
      <c r="CH7" s="2228"/>
      <c r="CI7" s="2229"/>
      <c r="CJ7" s="2198" t="s">
        <v>788</v>
      </c>
      <c r="CK7" s="2199"/>
      <c r="CL7" s="2205"/>
      <c r="CM7" s="2202" t="s">
        <v>789</v>
      </c>
      <c r="CN7" s="2203"/>
      <c r="CO7" s="2204"/>
      <c r="CP7" s="2202" t="s">
        <v>1071</v>
      </c>
      <c r="CQ7" s="2203"/>
      <c r="CR7" s="2204"/>
      <c r="CS7" s="2198" t="s">
        <v>793</v>
      </c>
      <c r="CT7" s="2199"/>
      <c r="CU7" s="2205"/>
      <c r="CV7" s="2198" t="s">
        <v>38</v>
      </c>
      <c r="CW7" s="2199"/>
      <c r="CX7" s="2205"/>
      <c r="CY7" s="2200" t="s">
        <v>401</v>
      </c>
      <c r="CZ7" s="2199"/>
      <c r="DA7" s="2205"/>
      <c r="DB7" s="2198" t="s">
        <v>795</v>
      </c>
      <c r="DC7" s="2200"/>
      <c r="DD7" s="2201"/>
      <c r="DE7" s="2202" t="s">
        <v>526</v>
      </c>
      <c r="DF7" s="2203"/>
      <c r="DG7" s="2204"/>
      <c r="DH7" s="2198" t="s">
        <v>349</v>
      </c>
      <c r="DI7" s="2200"/>
      <c r="DJ7" s="2201"/>
      <c r="DK7" s="2198" t="s">
        <v>227</v>
      </c>
      <c r="DL7" s="2200"/>
      <c r="DM7" s="2201"/>
      <c r="DN7" s="2239" t="s">
        <v>1073</v>
      </c>
      <c r="DO7" s="2240"/>
      <c r="DP7" s="2240"/>
      <c r="DQ7" s="138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</row>
    <row r="8" spans="1:218" ht="14.25" customHeight="1" thickBot="1">
      <c r="A8" s="139" t="s">
        <v>530</v>
      </c>
      <c r="B8" s="139"/>
      <c r="C8" s="609"/>
      <c r="D8" s="2193" t="s">
        <v>1084</v>
      </c>
      <c r="E8" s="2194"/>
      <c r="F8" s="2195"/>
      <c r="G8" s="109"/>
      <c r="H8" s="110"/>
      <c r="I8" s="110"/>
      <c r="J8" s="109"/>
      <c r="K8" s="110"/>
      <c r="L8" s="1953"/>
      <c r="M8" s="2193" t="s">
        <v>1087</v>
      </c>
      <c r="N8" s="2194"/>
      <c r="O8" s="2195"/>
      <c r="P8" s="2193" t="s">
        <v>220</v>
      </c>
      <c r="Q8" s="2196"/>
      <c r="R8" s="2197"/>
      <c r="S8" s="2193"/>
      <c r="T8" s="2196"/>
      <c r="U8" s="2197"/>
      <c r="V8" s="2193"/>
      <c r="W8" s="2194"/>
      <c r="X8" s="2195"/>
      <c r="Y8" s="2193" t="s">
        <v>791</v>
      </c>
      <c r="Z8" s="2196"/>
      <c r="AA8" s="2197"/>
      <c r="AB8" s="2193"/>
      <c r="AC8" s="2194"/>
      <c r="AD8" s="2195"/>
      <c r="AE8" s="2193" t="s">
        <v>221</v>
      </c>
      <c r="AF8" s="2194"/>
      <c r="AG8" s="2195"/>
      <c r="AH8" s="1262"/>
      <c r="AI8" s="1263"/>
      <c r="AJ8" s="1264"/>
      <c r="AK8" s="2193" t="s">
        <v>220</v>
      </c>
      <c r="AL8" s="2194"/>
      <c r="AM8" s="2195"/>
      <c r="AN8" s="2193"/>
      <c r="AO8" s="2194"/>
      <c r="AP8" s="2195"/>
      <c r="AQ8" s="1262"/>
      <c r="AR8" s="1263"/>
      <c r="AS8" s="1264"/>
      <c r="AT8" s="1262"/>
      <c r="AU8" s="1263"/>
      <c r="AV8" s="1264"/>
      <c r="AW8" s="2230" t="s">
        <v>1098</v>
      </c>
      <c r="AX8" s="2231"/>
      <c r="AY8" s="2232"/>
      <c r="AZ8" s="111"/>
      <c r="BA8" s="112"/>
      <c r="BB8" s="790"/>
      <c r="BC8" s="2193" t="s">
        <v>1100</v>
      </c>
      <c r="BD8" s="2196"/>
      <c r="BE8" s="2197"/>
      <c r="BF8" s="2230" t="s">
        <v>1102</v>
      </c>
      <c r="BG8" s="2231"/>
      <c r="BH8" s="2232"/>
      <c r="BI8" s="2213" t="s">
        <v>879</v>
      </c>
      <c r="BJ8" s="2233"/>
      <c r="BK8" s="2234"/>
      <c r="BL8" s="2230" t="s">
        <v>221</v>
      </c>
      <c r="BM8" s="2231"/>
      <c r="BN8" s="2232"/>
      <c r="BO8" s="2230" t="s">
        <v>781</v>
      </c>
      <c r="BP8" s="2231"/>
      <c r="BQ8" s="2232"/>
      <c r="BR8" s="2193" t="s">
        <v>783</v>
      </c>
      <c r="BS8" s="2196"/>
      <c r="BT8" s="2197"/>
      <c r="BU8" s="1136"/>
      <c r="BV8" s="1137"/>
      <c r="BW8" s="1138"/>
      <c r="BX8" s="1136"/>
      <c r="BY8" s="1137"/>
      <c r="BZ8" s="1138"/>
      <c r="CA8" s="2206" t="s">
        <v>785</v>
      </c>
      <c r="CB8" s="2207"/>
      <c r="CC8" s="2208"/>
      <c r="CD8" s="2206" t="s">
        <v>220</v>
      </c>
      <c r="CE8" s="2207"/>
      <c r="CF8" s="2208"/>
      <c r="CG8" s="2224" t="s">
        <v>787</v>
      </c>
      <c r="CH8" s="2225"/>
      <c r="CI8" s="2226"/>
      <c r="CJ8" s="2193"/>
      <c r="CK8" s="2196"/>
      <c r="CL8" s="2197"/>
      <c r="CM8" s="2216" t="s">
        <v>879</v>
      </c>
      <c r="CN8" s="2217"/>
      <c r="CO8" s="2218"/>
      <c r="CP8" s="2213"/>
      <c r="CQ8" s="2214"/>
      <c r="CR8" s="2215"/>
      <c r="CS8" s="2193" t="s">
        <v>794</v>
      </c>
      <c r="CT8" s="2196"/>
      <c r="CU8" s="2197"/>
      <c r="CV8" s="2193"/>
      <c r="CW8" s="2196"/>
      <c r="CX8" s="2197"/>
      <c r="CY8" s="2196"/>
      <c r="CZ8" s="2196"/>
      <c r="DA8" s="2197"/>
      <c r="DB8" s="2193"/>
      <c r="DC8" s="2194"/>
      <c r="DD8" s="2195"/>
      <c r="DE8" s="2214" t="s">
        <v>879</v>
      </c>
      <c r="DF8" s="2214"/>
      <c r="DG8" s="2215"/>
      <c r="DH8" s="2193" t="s">
        <v>797</v>
      </c>
      <c r="DI8" s="2194"/>
      <c r="DJ8" s="2195"/>
      <c r="DK8" s="2193"/>
      <c r="DL8" s="2194"/>
      <c r="DM8" s="2195"/>
      <c r="DN8" s="2238"/>
      <c r="DO8" s="2238"/>
      <c r="DP8" s="2238"/>
      <c r="DQ8" s="818" t="s">
        <v>305</v>
      </c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</row>
    <row r="9" spans="1:218" ht="12.75">
      <c r="A9" s="139"/>
      <c r="B9" s="139" t="s">
        <v>1020</v>
      </c>
      <c r="C9" s="609"/>
      <c r="D9" s="140" t="s">
        <v>222</v>
      </c>
      <c r="E9" s="137" t="s">
        <v>223</v>
      </c>
      <c r="F9" s="137" t="s">
        <v>302</v>
      </c>
      <c r="G9" s="140" t="s">
        <v>222</v>
      </c>
      <c r="H9" s="137" t="s">
        <v>223</v>
      </c>
      <c r="I9" s="137" t="s">
        <v>302</v>
      </c>
      <c r="J9" s="140" t="s">
        <v>222</v>
      </c>
      <c r="K9" s="137" t="s">
        <v>223</v>
      </c>
      <c r="L9" s="137" t="s">
        <v>302</v>
      </c>
      <c r="M9" s="140" t="s">
        <v>222</v>
      </c>
      <c r="N9" s="137" t="s">
        <v>223</v>
      </c>
      <c r="O9" s="137" t="s">
        <v>302</v>
      </c>
      <c r="P9" s="140" t="s">
        <v>222</v>
      </c>
      <c r="Q9" s="137" t="s">
        <v>223</v>
      </c>
      <c r="R9" s="137" t="s">
        <v>302</v>
      </c>
      <c r="S9" s="812" t="s">
        <v>222</v>
      </c>
      <c r="T9" s="137" t="s">
        <v>223</v>
      </c>
      <c r="U9" s="137" t="s">
        <v>302</v>
      </c>
      <c r="V9" s="140" t="s">
        <v>222</v>
      </c>
      <c r="W9" s="137" t="s">
        <v>223</v>
      </c>
      <c r="X9" s="140" t="s">
        <v>302</v>
      </c>
      <c r="Y9" s="140" t="s">
        <v>222</v>
      </c>
      <c r="Z9" s="137" t="s">
        <v>223</v>
      </c>
      <c r="AA9" s="813" t="s">
        <v>302</v>
      </c>
      <c r="AB9" s="812" t="s">
        <v>222</v>
      </c>
      <c r="AC9" s="137" t="s">
        <v>223</v>
      </c>
      <c r="AD9" s="137" t="s">
        <v>302</v>
      </c>
      <c r="AE9" s="140" t="s">
        <v>222</v>
      </c>
      <c r="AF9" s="137" t="s">
        <v>223</v>
      </c>
      <c r="AG9" s="137" t="s">
        <v>302</v>
      </c>
      <c r="AH9" s="140" t="s">
        <v>222</v>
      </c>
      <c r="AI9" s="137" t="s">
        <v>223</v>
      </c>
      <c r="AJ9" s="137" t="s">
        <v>302</v>
      </c>
      <c r="AK9" s="140" t="s">
        <v>222</v>
      </c>
      <c r="AL9" s="137" t="s">
        <v>223</v>
      </c>
      <c r="AM9" s="137" t="s">
        <v>302</v>
      </c>
      <c r="AN9" s="812" t="s">
        <v>222</v>
      </c>
      <c r="AO9" s="137" t="s">
        <v>223</v>
      </c>
      <c r="AP9" s="137" t="s">
        <v>302</v>
      </c>
      <c r="AQ9" s="140" t="s">
        <v>222</v>
      </c>
      <c r="AR9" s="137" t="s">
        <v>223</v>
      </c>
      <c r="AS9" s="137" t="s">
        <v>302</v>
      </c>
      <c r="AT9" s="140" t="s">
        <v>222</v>
      </c>
      <c r="AU9" s="137" t="s">
        <v>223</v>
      </c>
      <c r="AV9" s="137" t="s">
        <v>302</v>
      </c>
      <c r="AW9" s="140" t="s">
        <v>222</v>
      </c>
      <c r="AX9" s="137" t="s">
        <v>223</v>
      </c>
      <c r="AY9" s="137" t="s">
        <v>302</v>
      </c>
      <c r="AZ9" s="812" t="s">
        <v>222</v>
      </c>
      <c r="BA9" s="137" t="s">
        <v>223</v>
      </c>
      <c r="BB9" s="137" t="s">
        <v>302</v>
      </c>
      <c r="BC9" s="140" t="s">
        <v>222</v>
      </c>
      <c r="BD9" s="137" t="s">
        <v>223</v>
      </c>
      <c r="BE9" s="137" t="s">
        <v>302</v>
      </c>
      <c r="BF9" s="140" t="s">
        <v>222</v>
      </c>
      <c r="BG9" s="137" t="s">
        <v>223</v>
      </c>
      <c r="BH9" s="137" t="s">
        <v>302</v>
      </c>
      <c r="BI9" s="812" t="s">
        <v>222</v>
      </c>
      <c r="BJ9" s="137" t="s">
        <v>223</v>
      </c>
      <c r="BK9" s="137" t="s">
        <v>302</v>
      </c>
      <c r="BL9" s="140" t="s">
        <v>222</v>
      </c>
      <c r="BM9" s="137" t="s">
        <v>223</v>
      </c>
      <c r="BN9" s="137" t="s">
        <v>302</v>
      </c>
      <c r="BO9" s="140" t="s">
        <v>222</v>
      </c>
      <c r="BP9" s="137" t="s">
        <v>223</v>
      </c>
      <c r="BQ9" s="137" t="s">
        <v>302</v>
      </c>
      <c r="BR9" s="137" t="s">
        <v>222</v>
      </c>
      <c r="BS9" s="137" t="s">
        <v>223</v>
      </c>
      <c r="BT9" s="140" t="s">
        <v>302</v>
      </c>
      <c r="BU9" s="1172" t="s">
        <v>222</v>
      </c>
      <c r="BV9" s="815" t="s">
        <v>223</v>
      </c>
      <c r="BW9" s="816" t="s">
        <v>302</v>
      </c>
      <c r="BX9" s="113" t="s">
        <v>222</v>
      </c>
      <c r="BY9" s="114" t="s">
        <v>223</v>
      </c>
      <c r="BZ9" s="114" t="s">
        <v>302</v>
      </c>
      <c r="CA9" s="420" t="s">
        <v>222</v>
      </c>
      <c r="CB9" s="114" t="s">
        <v>223</v>
      </c>
      <c r="CC9" s="114" t="s">
        <v>302</v>
      </c>
      <c r="CD9" s="113" t="s">
        <v>222</v>
      </c>
      <c r="CE9" s="114" t="s">
        <v>223</v>
      </c>
      <c r="CF9" s="114" t="s">
        <v>302</v>
      </c>
      <c r="CG9" s="113" t="s">
        <v>222</v>
      </c>
      <c r="CH9" s="114" t="s">
        <v>223</v>
      </c>
      <c r="CI9" s="114" t="s">
        <v>302</v>
      </c>
      <c r="CJ9" s="420" t="s">
        <v>222</v>
      </c>
      <c r="CK9" s="114" t="s">
        <v>223</v>
      </c>
      <c r="CL9" s="137" t="s">
        <v>302</v>
      </c>
      <c r="CM9" s="113" t="s">
        <v>222</v>
      </c>
      <c r="CN9" s="114" t="s">
        <v>223</v>
      </c>
      <c r="CO9" s="137" t="s">
        <v>302</v>
      </c>
      <c r="CP9" s="141" t="s">
        <v>222</v>
      </c>
      <c r="CQ9" s="141" t="s">
        <v>223</v>
      </c>
      <c r="CR9" s="141" t="s">
        <v>302</v>
      </c>
      <c r="CS9" s="420" t="s">
        <v>222</v>
      </c>
      <c r="CT9" s="114" t="s">
        <v>223</v>
      </c>
      <c r="CU9" s="137" t="s">
        <v>302</v>
      </c>
      <c r="CV9" s="420" t="s">
        <v>222</v>
      </c>
      <c r="CW9" s="114" t="s">
        <v>223</v>
      </c>
      <c r="CX9" s="137" t="s">
        <v>302</v>
      </c>
      <c r="CY9" s="113" t="s">
        <v>222</v>
      </c>
      <c r="CZ9" s="114" t="s">
        <v>223</v>
      </c>
      <c r="DA9" s="137" t="s">
        <v>302</v>
      </c>
      <c r="DB9" s="113" t="s">
        <v>222</v>
      </c>
      <c r="DC9" s="114" t="s">
        <v>223</v>
      </c>
      <c r="DD9" s="137" t="s">
        <v>302</v>
      </c>
      <c r="DE9" s="113" t="s">
        <v>222</v>
      </c>
      <c r="DF9" s="114" t="s">
        <v>223</v>
      </c>
      <c r="DG9" s="137" t="s">
        <v>302</v>
      </c>
      <c r="DH9" s="420" t="s">
        <v>222</v>
      </c>
      <c r="DI9" s="114" t="s">
        <v>223</v>
      </c>
      <c r="DJ9" s="137" t="s">
        <v>302</v>
      </c>
      <c r="DK9" s="113" t="s">
        <v>222</v>
      </c>
      <c r="DL9" s="114" t="s">
        <v>223</v>
      </c>
      <c r="DM9" s="137" t="s">
        <v>302</v>
      </c>
      <c r="DN9" s="141" t="s">
        <v>222</v>
      </c>
      <c r="DO9" s="141" t="s">
        <v>223</v>
      </c>
      <c r="DP9" s="141" t="s">
        <v>302</v>
      </c>
      <c r="DQ9" s="818" t="s">
        <v>303</v>
      </c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</row>
    <row r="10" spans="1:218" ht="13.5" thickBot="1">
      <c r="A10" s="705"/>
      <c r="B10" s="706" t="s">
        <v>878</v>
      </c>
      <c r="C10" s="143"/>
      <c r="D10" s="2241" t="s">
        <v>4</v>
      </c>
      <c r="E10" s="2242"/>
      <c r="F10" s="142"/>
      <c r="G10" s="2241" t="s">
        <v>4</v>
      </c>
      <c r="H10" s="2242"/>
      <c r="I10" s="142"/>
      <c r="J10" s="2241" t="s">
        <v>4</v>
      </c>
      <c r="K10" s="2242"/>
      <c r="L10" s="142"/>
      <c r="M10" s="2241" t="s">
        <v>4</v>
      </c>
      <c r="N10" s="2242"/>
      <c r="O10" s="142"/>
      <c r="P10" s="2241" t="s">
        <v>4</v>
      </c>
      <c r="Q10" s="2242"/>
      <c r="R10" s="142"/>
      <c r="S10" s="2243" t="s">
        <v>4</v>
      </c>
      <c r="T10" s="2242"/>
      <c r="U10" s="142"/>
      <c r="V10" s="2241" t="s">
        <v>4</v>
      </c>
      <c r="W10" s="2242"/>
      <c r="X10" s="143"/>
      <c r="Y10" s="2241" t="s">
        <v>4</v>
      </c>
      <c r="Z10" s="2242"/>
      <c r="AA10" s="814"/>
      <c r="AB10" s="2243" t="s">
        <v>4</v>
      </c>
      <c r="AC10" s="2242"/>
      <c r="AD10" s="142"/>
      <c r="AE10" s="2241" t="s">
        <v>4</v>
      </c>
      <c r="AF10" s="2242"/>
      <c r="AG10" s="142"/>
      <c r="AH10" s="2241" t="s">
        <v>4</v>
      </c>
      <c r="AI10" s="2242"/>
      <c r="AJ10" s="142"/>
      <c r="AK10" s="2241" t="s">
        <v>4</v>
      </c>
      <c r="AL10" s="2242"/>
      <c r="AM10" s="142"/>
      <c r="AN10" s="2243" t="s">
        <v>4</v>
      </c>
      <c r="AO10" s="2242"/>
      <c r="AP10" s="142"/>
      <c r="AQ10" s="2241" t="s">
        <v>4</v>
      </c>
      <c r="AR10" s="2242"/>
      <c r="AS10" s="142"/>
      <c r="AT10" s="2241" t="s">
        <v>4</v>
      </c>
      <c r="AU10" s="2242"/>
      <c r="AV10" s="142"/>
      <c r="AW10" s="2241" t="s">
        <v>4</v>
      </c>
      <c r="AX10" s="2242"/>
      <c r="AY10" s="142"/>
      <c r="AZ10" s="2243" t="s">
        <v>4</v>
      </c>
      <c r="BA10" s="2242"/>
      <c r="BB10" s="142"/>
      <c r="BC10" s="2241" t="s">
        <v>4</v>
      </c>
      <c r="BD10" s="2242"/>
      <c r="BE10" s="142"/>
      <c r="BF10" s="143" t="s">
        <v>4</v>
      </c>
      <c r="BG10" s="142"/>
      <c r="BH10" s="142"/>
      <c r="BI10" s="2243" t="s">
        <v>4</v>
      </c>
      <c r="BJ10" s="2242"/>
      <c r="BK10" s="142"/>
      <c r="BL10" s="2241" t="s">
        <v>4</v>
      </c>
      <c r="BM10" s="2242"/>
      <c r="BN10" s="142"/>
      <c r="BO10" s="2241" t="s">
        <v>4</v>
      </c>
      <c r="BP10" s="2242"/>
      <c r="BQ10" s="142"/>
      <c r="BR10" s="142" t="s">
        <v>4</v>
      </c>
      <c r="BS10" s="142"/>
      <c r="BT10" s="143"/>
      <c r="BU10" s="2246" t="s">
        <v>4</v>
      </c>
      <c r="BV10" s="2247"/>
      <c r="BW10" s="817"/>
      <c r="BX10" s="2209" t="s">
        <v>4</v>
      </c>
      <c r="BY10" s="2210"/>
      <c r="BZ10" s="117"/>
      <c r="CA10" s="2245" t="s">
        <v>4</v>
      </c>
      <c r="CB10" s="2210"/>
      <c r="CC10" s="117"/>
      <c r="CD10" s="2209" t="s">
        <v>4</v>
      </c>
      <c r="CE10" s="2210"/>
      <c r="CF10" s="117"/>
      <c r="CG10" s="2209" t="s">
        <v>4</v>
      </c>
      <c r="CH10" s="2210"/>
      <c r="CI10" s="117"/>
      <c r="CJ10" s="2245" t="s">
        <v>4</v>
      </c>
      <c r="CK10" s="2210"/>
      <c r="CL10" s="142"/>
      <c r="CM10" s="2209" t="s">
        <v>4</v>
      </c>
      <c r="CN10" s="2210"/>
      <c r="CO10" s="142"/>
      <c r="CP10" s="2244" t="s">
        <v>4</v>
      </c>
      <c r="CQ10" s="2244"/>
      <c r="CR10" s="144"/>
      <c r="CS10" s="2245" t="s">
        <v>4</v>
      </c>
      <c r="CT10" s="2210"/>
      <c r="CU10" s="142"/>
      <c r="CV10" s="2245" t="s">
        <v>4</v>
      </c>
      <c r="CW10" s="2210"/>
      <c r="CX10" s="142"/>
      <c r="CY10" s="2209" t="s">
        <v>4</v>
      </c>
      <c r="CZ10" s="2210"/>
      <c r="DA10" s="142"/>
      <c r="DB10" s="2209" t="s">
        <v>4</v>
      </c>
      <c r="DC10" s="2210"/>
      <c r="DD10" s="142"/>
      <c r="DE10" s="2209" t="s">
        <v>4</v>
      </c>
      <c r="DF10" s="2210"/>
      <c r="DG10" s="142"/>
      <c r="DH10" s="2245" t="s">
        <v>4</v>
      </c>
      <c r="DI10" s="2210"/>
      <c r="DJ10" s="142"/>
      <c r="DK10" s="2209" t="s">
        <v>4</v>
      </c>
      <c r="DL10" s="2210"/>
      <c r="DM10" s="142"/>
      <c r="DN10" s="2244" t="s">
        <v>4</v>
      </c>
      <c r="DO10" s="2244"/>
      <c r="DP10" s="144"/>
      <c r="DQ10" s="819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</row>
    <row r="11" spans="1:218" ht="12.75">
      <c r="A11" s="707">
        <v>1</v>
      </c>
      <c r="B11" s="708">
        <v>2</v>
      </c>
      <c r="C11" s="1958"/>
      <c r="D11" s="145">
        <v>3</v>
      </c>
      <c r="E11" s="1946">
        <v>4</v>
      </c>
      <c r="F11" s="162">
        <v>5</v>
      </c>
      <c r="G11" s="145">
        <v>6</v>
      </c>
      <c r="H11" s="1946">
        <v>7</v>
      </c>
      <c r="I11" s="162">
        <v>8</v>
      </c>
      <c r="J11" s="145">
        <v>9</v>
      </c>
      <c r="K11" s="1946">
        <v>10</v>
      </c>
      <c r="L11" s="162">
        <v>11</v>
      </c>
      <c r="M11" s="145">
        <v>3</v>
      </c>
      <c r="N11" s="1946">
        <v>4</v>
      </c>
      <c r="O11" s="162">
        <v>5</v>
      </c>
      <c r="P11" s="145">
        <v>6</v>
      </c>
      <c r="Q11" s="1946">
        <v>7</v>
      </c>
      <c r="R11" s="162">
        <v>8</v>
      </c>
      <c r="S11" s="145">
        <v>9</v>
      </c>
      <c r="T11" s="1946">
        <v>10</v>
      </c>
      <c r="U11" s="162">
        <v>11</v>
      </c>
      <c r="V11" s="145">
        <v>3</v>
      </c>
      <c r="W11" s="1946">
        <v>4</v>
      </c>
      <c r="X11" s="162">
        <v>5</v>
      </c>
      <c r="Y11" s="145">
        <v>6</v>
      </c>
      <c r="Z11" s="1946">
        <v>7</v>
      </c>
      <c r="AA11" s="162">
        <v>8</v>
      </c>
      <c r="AB11" s="145">
        <v>9</v>
      </c>
      <c r="AC11" s="1946">
        <v>10</v>
      </c>
      <c r="AD11" s="162">
        <v>11</v>
      </c>
      <c r="AE11" s="145">
        <v>3</v>
      </c>
      <c r="AF11" s="1946">
        <v>4</v>
      </c>
      <c r="AG11" s="162">
        <v>5</v>
      </c>
      <c r="AH11" s="145">
        <v>6</v>
      </c>
      <c r="AI11" s="1946">
        <v>7</v>
      </c>
      <c r="AJ11" s="162">
        <v>8</v>
      </c>
      <c r="AK11" s="145">
        <v>9</v>
      </c>
      <c r="AL11" s="1946">
        <v>10</v>
      </c>
      <c r="AM11" s="162">
        <v>11</v>
      </c>
      <c r="AN11" s="145">
        <v>3</v>
      </c>
      <c r="AO11" s="1946">
        <v>4</v>
      </c>
      <c r="AP11" s="162">
        <v>5</v>
      </c>
      <c r="AQ11" s="145">
        <v>6</v>
      </c>
      <c r="AR11" s="1946">
        <v>7</v>
      </c>
      <c r="AS11" s="162">
        <v>8</v>
      </c>
      <c r="AT11" s="145">
        <v>9</v>
      </c>
      <c r="AU11" s="1946">
        <v>10</v>
      </c>
      <c r="AV11" s="162">
        <v>11</v>
      </c>
      <c r="AW11" s="145">
        <v>3</v>
      </c>
      <c r="AX11" s="1946">
        <v>4</v>
      </c>
      <c r="AY11" s="162">
        <v>5</v>
      </c>
      <c r="AZ11" s="145">
        <v>6</v>
      </c>
      <c r="BA11" s="1946">
        <v>7</v>
      </c>
      <c r="BB11" s="162">
        <v>8</v>
      </c>
      <c r="BC11" s="145">
        <v>9</v>
      </c>
      <c r="BD11" s="1946">
        <v>10</v>
      </c>
      <c r="BE11" s="162">
        <v>11</v>
      </c>
      <c r="BF11" s="145">
        <v>3</v>
      </c>
      <c r="BG11" s="1946">
        <v>4</v>
      </c>
      <c r="BH11" s="162">
        <v>5</v>
      </c>
      <c r="BI11" s="145">
        <v>6</v>
      </c>
      <c r="BJ11" s="1946">
        <v>7</v>
      </c>
      <c r="BK11" s="162">
        <v>8</v>
      </c>
      <c r="BL11" s="145">
        <v>9</v>
      </c>
      <c r="BM11" s="1946">
        <v>10</v>
      </c>
      <c r="BN11" s="162">
        <v>11</v>
      </c>
      <c r="BO11" s="145">
        <v>3</v>
      </c>
      <c r="BP11" s="1946">
        <v>4</v>
      </c>
      <c r="BQ11" s="162">
        <v>5</v>
      </c>
      <c r="BR11" s="145">
        <v>6</v>
      </c>
      <c r="BS11" s="1946">
        <v>7</v>
      </c>
      <c r="BT11" s="162">
        <v>8</v>
      </c>
      <c r="BU11" s="145">
        <v>9</v>
      </c>
      <c r="BV11" s="1946">
        <v>10</v>
      </c>
      <c r="BW11" s="162">
        <v>11</v>
      </c>
      <c r="BX11" s="145">
        <v>3</v>
      </c>
      <c r="BY11" s="1946">
        <v>4</v>
      </c>
      <c r="BZ11" s="162">
        <v>5</v>
      </c>
      <c r="CA11" s="145">
        <v>6</v>
      </c>
      <c r="CB11" s="1946">
        <v>7</v>
      </c>
      <c r="CC11" s="162">
        <v>8</v>
      </c>
      <c r="CD11" s="145">
        <v>9</v>
      </c>
      <c r="CE11" s="1946">
        <v>10</v>
      </c>
      <c r="CF11" s="162">
        <v>11</v>
      </c>
      <c r="CG11" s="145">
        <v>3</v>
      </c>
      <c r="CH11" s="1946">
        <v>4</v>
      </c>
      <c r="CI11" s="162">
        <v>5</v>
      </c>
      <c r="CJ11" s="145">
        <v>6</v>
      </c>
      <c r="CK11" s="1946">
        <v>7</v>
      </c>
      <c r="CL11" s="162">
        <v>8</v>
      </c>
      <c r="CM11" s="145">
        <v>9</v>
      </c>
      <c r="CN11" s="1946">
        <v>10</v>
      </c>
      <c r="CO11" s="162">
        <v>11</v>
      </c>
      <c r="CP11" s="145">
        <v>3</v>
      </c>
      <c r="CQ11" s="1946">
        <v>4</v>
      </c>
      <c r="CR11" s="162">
        <v>5</v>
      </c>
      <c r="CS11" s="145">
        <v>6</v>
      </c>
      <c r="CT11" s="1946">
        <v>7</v>
      </c>
      <c r="CU11" s="162">
        <v>8</v>
      </c>
      <c r="CV11" s="145">
        <v>9</v>
      </c>
      <c r="CW11" s="1946">
        <v>10</v>
      </c>
      <c r="CX11" s="162">
        <v>11</v>
      </c>
      <c r="CY11" s="145">
        <v>3</v>
      </c>
      <c r="CZ11" s="1946">
        <v>4</v>
      </c>
      <c r="DA11" s="162">
        <v>5</v>
      </c>
      <c r="DB11" s="145">
        <v>6</v>
      </c>
      <c r="DC11" s="1946">
        <v>7</v>
      </c>
      <c r="DD11" s="162">
        <v>8</v>
      </c>
      <c r="DE11" s="145">
        <v>9</v>
      </c>
      <c r="DF11" s="1946">
        <v>10</v>
      </c>
      <c r="DG11" s="162">
        <v>11</v>
      </c>
      <c r="DH11" s="145">
        <v>3</v>
      </c>
      <c r="DI11" s="1946">
        <v>4</v>
      </c>
      <c r="DJ11" s="162">
        <v>5</v>
      </c>
      <c r="DK11" s="145">
        <v>6</v>
      </c>
      <c r="DL11" s="1946">
        <v>7</v>
      </c>
      <c r="DM11" s="162">
        <v>8</v>
      </c>
      <c r="DN11" s="145">
        <v>3</v>
      </c>
      <c r="DO11" s="1946">
        <v>4</v>
      </c>
      <c r="DP11" s="162">
        <v>5</v>
      </c>
      <c r="DQ11" s="820">
        <v>6</v>
      </c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</row>
    <row r="12" spans="1:218" ht="12.75" customHeight="1">
      <c r="A12" s="709" t="s">
        <v>174</v>
      </c>
      <c r="B12" s="710" t="s">
        <v>1120</v>
      </c>
      <c r="C12" s="1959"/>
      <c r="D12" s="739">
        <f aca="true" t="shared" si="0" ref="D12:AI12">D13+D18</f>
        <v>14351</v>
      </c>
      <c r="E12" s="800">
        <f t="shared" si="0"/>
        <v>14351</v>
      </c>
      <c r="F12" s="752">
        <f t="shared" si="0"/>
        <v>14654.156</v>
      </c>
      <c r="G12" s="739">
        <f t="shared" si="0"/>
        <v>1068870</v>
      </c>
      <c r="H12" s="800">
        <f t="shared" si="0"/>
        <v>898250</v>
      </c>
      <c r="I12" s="752">
        <f t="shared" si="0"/>
        <v>939435.3640000001</v>
      </c>
      <c r="J12" s="739">
        <f t="shared" si="0"/>
        <v>175062</v>
      </c>
      <c r="K12" s="800">
        <f t="shared" si="0"/>
        <v>131600</v>
      </c>
      <c r="L12" s="752">
        <f t="shared" si="0"/>
        <v>140189</v>
      </c>
      <c r="M12" s="739">
        <f t="shared" si="0"/>
        <v>0</v>
      </c>
      <c r="N12" s="800">
        <f t="shared" si="0"/>
        <v>0</v>
      </c>
      <c r="O12" s="752">
        <f t="shared" si="0"/>
        <v>0</v>
      </c>
      <c r="P12" s="739">
        <f t="shared" si="0"/>
        <v>0</v>
      </c>
      <c r="Q12" s="800">
        <f t="shared" si="0"/>
        <v>0</v>
      </c>
      <c r="R12" s="752">
        <f t="shared" si="0"/>
        <v>0</v>
      </c>
      <c r="S12" s="739">
        <f t="shared" si="0"/>
        <v>4061</v>
      </c>
      <c r="T12" s="800">
        <f t="shared" si="0"/>
        <v>4061</v>
      </c>
      <c r="U12" s="752">
        <f t="shared" si="0"/>
        <v>4867</v>
      </c>
      <c r="V12" s="739">
        <f t="shared" si="0"/>
        <v>130000</v>
      </c>
      <c r="W12" s="800">
        <f t="shared" si="0"/>
        <v>148192</v>
      </c>
      <c r="X12" s="752">
        <f t="shared" si="0"/>
        <v>142752</v>
      </c>
      <c r="Y12" s="739">
        <f t="shared" si="0"/>
        <v>2159</v>
      </c>
      <c r="Z12" s="800">
        <f t="shared" si="0"/>
        <v>3461</v>
      </c>
      <c r="AA12" s="752">
        <f t="shared" si="0"/>
        <v>5442.737</v>
      </c>
      <c r="AB12" s="739">
        <f t="shared" si="0"/>
        <v>0</v>
      </c>
      <c r="AC12" s="800">
        <f t="shared" si="0"/>
        <v>0</v>
      </c>
      <c r="AD12" s="752">
        <f t="shared" si="0"/>
        <v>0</v>
      </c>
      <c r="AE12" s="739">
        <f t="shared" si="0"/>
        <v>0</v>
      </c>
      <c r="AF12" s="800">
        <f t="shared" si="0"/>
        <v>0</v>
      </c>
      <c r="AG12" s="752">
        <f t="shared" si="0"/>
        <v>0</v>
      </c>
      <c r="AH12" s="739">
        <f t="shared" si="0"/>
        <v>519882</v>
      </c>
      <c r="AI12" s="800">
        <f t="shared" si="0"/>
        <v>537561</v>
      </c>
      <c r="AJ12" s="752">
        <f aca="true" t="shared" si="1" ref="AJ12:BO12">AJ13+AJ18</f>
        <v>544940.531</v>
      </c>
      <c r="AK12" s="739">
        <f t="shared" si="1"/>
        <v>6670813</v>
      </c>
      <c r="AL12" s="800">
        <f t="shared" si="1"/>
        <v>6700813</v>
      </c>
      <c r="AM12" s="752">
        <f t="shared" si="1"/>
        <v>6916215.219999999</v>
      </c>
      <c r="AN12" s="739">
        <f t="shared" si="1"/>
        <v>0</v>
      </c>
      <c r="AO12" s="800">
        <f t="shared" si="1"/>
        <v>0</v>
      </c>
      <c r="AP12" s="752">
        <f t="shared" si="1"/>
        <v>0</v>
      </c>
      <c r="AQ12" s="739">
        <f t="shared" si="1"/>
        <v>0</v>
      </c>
      <c r="AR12" s="800">
        <f t="shared" si="1"/>
        <v>0</v>
      </c>
      <c r="AS12" s="752">
        <f t="shared" si="1"/>
        <v>0</v>
      </c>
      <c r="AT12" s="739">
        <f t="shared" si="1"/>
        <v>0</v>
      </c>
      <c r="AU12" s="800">
        <f t="shared" si="1"/>
        <v>0</v>
      </c>
      <c r="AV12" s="752">
        <f t="shared" si="1"/>
        <v>0</v>
      </c>
      <c r="AW12" s="739">
        <f t="shared" si="1"/>
        <v>330468</v>
      </c>
      <c r="AX12" s="800">
        <f t="shared" si="1"/>
        <v>436260</v>
      </c>
      <c r="AY12" s="752">
        <f t="shared" si="1"/>
        <v>441006.37799999997</v>
      </c>
      <c r="AZ12" s="739">
        <f t="shared" si="1"/>
        <v>0</v>
      </c>
      <c r="BA12" s="800">
        <f t="shared" si="1"/>
        <v>0</v>
      </c>
      <c r="BB12" s="752">
        <f t="shared" si="1"/>
        <v>0</v>
      </c>
      <c r="BC12" s="739">
        <f t="shared" si="1"/>
        <v>301000</v>
      </c>
      <c r="BD12" s="800">
        <f t="shared" si="1"/>
        <v>305000</v>
      </c>
      <c r="BE12" s="752">
        <f t="shared" si="1"/>
        <v>306273.446</v>
      </c>
      <c r="BF12" s="739">
        <f t="shared" si="1"/>
        <v>343819</v>
      </c>
      <c r="BG12" s="800">
        <f t="shared" si="1"/>
        <v>254109</v>
      </c>
      <c r="BH12" s="752">
        <f t="shared" si="1"/>
        <v>274439.68</v>
      </c>
      <c r="BI12" s="739">
        <f t="shared" si="1"/>
        <v>9560485</v>
      </c>
      <c r="BJ12" s="800">
        <f t="shared" si="1"/>
        <v>9433658</v>
      </c>
      <c r="BK12" s="752">
        <f t="shared" si="1"/>
        <v>9730215.066</v>
      </c>
      <c r="BL12" s="739">
        <f t="shared" si="1"/>
        <v>0</v>
      </c>
      <c r="BM12" s="800">
        <f t="shared" si="1"/>
        <v>0</v>
      </c>
      <c r="BN12" s="752">
        <f t="shared" si="1"/>
        <v>0</v>
      </c>
      <c r="BO12" s="739">
        <f t="shared" si="1"/>
        <v>0</v>
      </c>
      <c r="BP12" s="800">
        <f aca="true" t="shared" si="2" ref="BP12:CO12">BP13+BP18</f>
        <v>0</v>
      </c>
      <c r="BQ12" s="752">
        <f t="shared" si="2"/>
        <v>0</v>
      </c>
      <c r="BR12" s="739">
        <f t="shared" si="2"/>
        <v>0</v>
      </c>
      <c r="BS12" s="800">
        <f t="shared" si="2"/>
        <v>0</v>
      </c>
      <c r="BT12" s="752">
        <f t="shared" si="2"/>
        <v>0</v>
      </c>
      <c r="BU12" s="739">
        <f t="shared" si="2"/>
        <v>0</v>
      </c>
      <c r="BV12" s="800">
        <f t="shared" si="2"/>
        <v>0</v>
      </c>
      <c r="BW12" s="752">
        <f t="shared" si="2"/>
        <v>0</v>
      </c>
      <c r="BX12" s="739">
        <f t="shared" si="2"/>
        <v>0</v>
      </c>
      <c r="BY12" s="800">
        <f t="shared" si="2"/>
        <v>0</v>
      </c>
      <c r="BZ12" s="752">
        <f t="shared" si="2"/>
        <v>0</v>
      </c>
      <c r="CA12" s="739">
        <f t="shared" si="2"/>
        <v>3810</v>
      </c>
      <c r="CB12" s="800">
        <f t="shared" si="2"/>
        <v>3810</v>
      </c>
      <c r="CC12" s="752">
        <f t="shared" si="2"/>
        <v>4702</v>
      </c>
      <c r="CD12" s="739">
        <f t="shared" si="2"/>
        <v>1000</v>
      </c>
      <c r="CE12" s="800">
        <f t="shared" si="2"/>
        <v>3948</v>
      </c>
      <c r="CF12" s="752">
        <f t="shared" si="2"/>
        <v>47999</v>
      </c>
      <c r="CG12" s="739">
        <f t="shared" si="2"/>
        <v>0</v>
      </c>
      <c r="CH12" s="800">
        <f t="shared" si="2"/>
        <v>0</v>
      </c>
      <c r="CI12" s="752">
        <f t="shared" si="2"/>
        <v>0</v>
      </c>
      <c r="CJ12" s="739">
        <f t="shared" si="2"/>
        <v>0</v>
      </c>
      <c r="CK12" s="800">
        <f t="shared" si="2"/>
        <v>0</v>
      </c>
      <c r="CL12" s="752">
        <f t="shared" si="2"/>
        <v>0</v>
      </c>
      <c r="CM12" s="739">
        <f t="shared" si="2"/>
        <v>4810</v>
      </c>
      <c r="CN12" s="800">
        <f t="shared" si="2"/>
        <v>7758</v>
      </c>
      <c r="CO12" s="752">
        <f t="shared" si="2"/>
        <v>52701</v>
      </c>
      <c r="CP12" s="739">
        <f aca="true" t="shared" si="3" ref="CP12:CP42">BI12+CM12</f>
        <v>9565295</v>
      </c>
      <c r="CQ12" s="800">
        <f aca="true" t="shared" si="4" ref="CQ12:CQ42">BJ12+CN12</f>
        <v>9441416</v>
      </c>
      <c r="CR12" s="752">
        <f aca="true" t="shared" si="5" ref="CR12:CR42">BK12+CO12</f>
        <v>9782916.066</v>
      </c>
      <c r="CS12" s="739">
        <f aca="true" t="shared" si="6" ref="CS12:DP12">CS13+CS18</f>
        <v>7132</v>
      </c>
      <c r="CT12" s="800">
        <f t="shared" si="6"/>
        <v>6134</v>
      </c>
      <c r="CU12" s="752">
        <f t="shared" si="6"/>
        <v>6132.091</v>
      </c>
      <c r="CV12" s="739">
        <f t="shared" si="6"/>
        <v>0</v>
      </c>
      <c r="CW12" s="800">
        <f t="shared" si="6"/>
        <v>0</v>
      </c>
      <c r="CX12" s="752">
        <f t="shared" si="6"/>
        <v>0</v>
      </c>
      <c r="CY12" s="739">
        <f t="shared" si="6"/>
        <v>0</v>
      </c>
      <c r="CZ12" s="800">
        <f t="shared" si="6"/>
        <v>16</v>
      </c>
      <c r="DA12" s="752">
        <f t="shared" si="6"/>
        <v>16.188</v>
      </c>
      <c r="DB12" s="739">
        <f t="shared" si="6"/>
        <v>78545</v>
      </c>
      <c r="DC12" s="800">
        <f t="shared" si="6"/>
        <v>102140</v>
      </c>
      <c r="DD12" s="752">
        <f t="shared" si="6"/>
        <v>102127.43000000001</v>
      </c>
      <c r="DE12" s="739">
        <f t="shared" si="6"/>
        <v>85677</v>
      </c>
      <c r="DF12" s="800">
        <f t="shared" si="6"/>
        <v>108290</v>
      </c>
      <c r="DG12" s="752">
        <f t="shared" si="6"/>
        <v>108275.70899999999</v>
      </c>
      <c r="DH12" s="739">
        <f t="shared" si="6"/>
        <v>110358</v>
      </c>
      <c r="DI12" s="800">
        <f t="shared" si="6"/>
        <v>132838</v>
      </c>
      <c r="DJ12" s="752">
        <f t="shared" si="6"/>
        <v>144943</v>
      </c>
      <c r="DK12" s="739">
        <f t="shared" si="6"/>
        <v>94558</v>
      </c>
      <c r="DL12" s="800">
        <f t="shared" si="6"/>
        <v>94558</v>
      </c>
      <c r="DM12" s="752">
        <f t="shared" si="6"/>
        <v>90235</v>
      </c>
      <c r="DN12" s="739">
        <f t="shared" si="6"/>
        <v>9855888</v>
      </c>
      <c r="DO12" s="800">
        <f t="shared" si="6"/>
        <v>9777102</v>
      </c>
      <c r="DP12" s="752">
        <f t="shared" si="6"/>
        <v>10126369.774999999</v>
      </c>
      <c r="DQ12" s="821">
        <f aca="true" t="shared" si="7" ref="DQ12:DQ25">DP12/DO12*100</f>
        <v>103.57230368467056</v>
      </c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</row>
    <row r="13" spans="1:218" ht="12.75" customHeight="1">
      <c r="A13" s="711" t="s">
        <v>482</v>
      </c>
      <c r="B13" s="712" t="s">
        <v>214</v>
      </c>
      <c r="C13" s="1960"/>
      <c r="D13" s="739">
        <f>ROUND(SUM(D14:D17),0)</f>
        <v>9351</v>
      </c>
      <c r="E13" s="800">
        <f>ROUND(SUM(E14:E17),0)</f>
        <v>9351</v>
      </c>
      <c r="F13" s="752">
        <f>SUM(F14:F17)</f>
        <v>9696.156</v>
      </c>
      <c r="G13" s="739">
        <f>ROUND(SUM(G14:G17),0)</f>
        <v>1068870</v>
      </c>
      <c r="H13" s="800">
        <f>ROUND(SUM(H14:H17),0)</f>
        <v>898250</v>
      </c>
      <c r="I13" s="752">
        <f>SUM(I14:I17)</f>
        <v>939435.3640000001</v>
      </c>
      <c r="J13" s="739">
        <f>ROUND(SUM(J14:J17),0)</f>
        <v>115958</v>
      </c>
      <c r="K13" s="800">
        <f>ROUND(SUM(K14:K17),0)</f>
        <v>76946</v>
      </c>
      <c r="L13" s="752">
        <f>SUM(L14:L17)</f>
        <v>89923</v>
      </c>
      <c r="M13" s="739">
        <f>ROUND(SUM(M14:M17),0)</f>
        <v>0</v>
      </c>
      <c r="N13" s="800">
        <f>ROUND(SUM(N14:N17),0)</f>
        <v>0</v>
      </c>
      <c r="O13" s="752">
        <f>SUM(O14:O17)</f>
        <v>0</v>
      </c>
      <c r="P13" s="739">
        <f>ROUND(SUM(P14:P17),0)</f>
        <v>0</v>
      </c>
      <c r="Q13" s="800">
        <f>ROUND(SUM(Q14:Q17),0)</f>
        <v>0</v>
      </c>
      <c r="R13" s="752">
        <f>SUM(R14:R17)</f>
        <v>0</v>
      </c>
      <c r="S13" s="739">
        <f>ROUND(SUM(S14:S17),0)</f>
        <v>4061</v>
      </c>
      <c r="T13" s="800">
        <f>ROUND(SUM(T14:T17),0)</f>
        <v>4061</v>
      </c>
      <c r="U13" s="752">
        <f>SUM(U14:U17)</f>
        <v>4867</v>
      </c>
      <c r="V13" s="739">
        <f>ROUND(SUM(V14:V17),0)</f>
        <v>130000</v>
      </c>
      <c r="W13" s="800">
        <f>ROUND(SUM(W14:W17),0)</f>
        <v>148192</v>
      </c>
      <c r="X13" s="752">
        <f>SUM(X14:X17)</f>
        <v>142752</v>
      </c>
      <c r="Y13" s="739">
        <f>ROUND(SUM(Y14:Y17),0)</f>
        <v>2159</v>
      </c>
      <c r="Z13" s="800">
        <f>ROUND(SUM(Z14:Z17),0)</f>
        <v>3461</v>
      </c>
      <c r="AA13" s="752">
        <f>SUM(AA14:AA17)</f>
        <v>5442.737</v>
      </c>
      <c r="AB13" s="739">
        <f>ROUND(SUM(AB14:AB17),0)</f>
        <v>0</v>
      </c>
      <c r="AC13" s="800">
        <f>ROUND(SUM(AC14:AC17),0)</f>
        <v>0</v>
      </c>
      <c r="AD13" s="752">
        <f>SUM(AD14:AD17)</f>
        <v>0</v>
      </c>
      <c r="AE13" s="739">
        <f>ROUND(SUM(AE14:AE17),0)</f>
        <v>0</v>
      </c>
      <c r="AF13" s="800">
        <f>ROUND(SUM(AF14:AF17),0)</f>
        <v>0</v>
      </c>
      <c r="AG13" s="752">
        <f>SUM(AG14:AG17)</f>
        <v>0</v>
      </c>
      <c r="AH13" s="739">
        <f>ROUND(SUM(AH14:AH17),0)</f>
        <v>193582</v>
      </c>
      <c r="AI13" s="800">
        <f>ROUND(SUM(AI14:AI17),0)</f>
        <v>220261</v>
      </c>
      <c r="AJ13" s="752">
        <f>SUM(AJ14:AJ17)</f>
        <v>238184.531</v>
      </c>
      <c r="AK13" s="739">
        <f>ROUND(SUM(AK14:AK17),0)</f>
        <v>0</v>
      </c>
      <c r="AL13" s="800">
        <f>ROUND(SUM(AL14:AL17),0)</f>
        <v>0</v>
      </c>
      <c r="AM13" s="752">
        <f>SUM(AM14:AM17)</f>
        <v>0</v>
      </c>
      <c r="AN13" s="739">
        <f>ROUND(SUM(AN14:AN17),0)</f>
        <v>0</v>
      </c>
      <c r="AO13" s="800">
        <f>ROUND(SUM(AO14:AO17),0)</f>
        <v>0</v>
      </c>
      <c r="AP13" s="752">
        <f>SUM(AP14:AP17)</f>
        <v>0</v>
      </c>
      <c r="AQ13" s="739">
        <f>ROUND(SUM(AQ14:AQ17),0)</f>
        <v>0</v>
      </c>
      <c r="AR13" s="800">
        <f>ROUND(SUM(AR14:AR17),0)</f>
        <v>0</v>
      </c>
      <c r="AS13" s="752">
        <f>SUM(AS14:AS17)</f>
        <v>0</v>
      </c>
      <c r="AT13" s="739">
        <f>ROUND(SUM(AT14:AT17),0)</f>
        <v>0</v>
      </c>
      <c r="AU13" s="800">
        <f>ROUND(SUM(AU14:AU17),0)</f>
        <v>0</v>
      </c>
      <c r="AV13" s="752">
        <f>SUM(AV14:AV17)</f>
        <v>0</v>
      </c>
      <c r="AW13" s="739">
        <f>ROUND(SUM(AW14:AW17),0)</f>
        <v>330468</v>
      </c>
      <c r="AX13" s="800">
        <f>ROUND(SUM(AX14:AX17),0)</f>
        <v>436260</v>
      </c>
      <c r="AY13" s="752">
        <f>SUM(AY14:AY17)</f>
        <v>441006.37799999997</v>
      </c>
      <c r="AZ13" s="739">
        <f>ROUND(SUM(AZ14:AZ17),0)</f>
        <v>0</v>
      </c>
      <c r="BA13" s="800">
        <f>ROUND(SUM(BA14:BA17),0)</f>
        <v>0</v>
      </c>
      <c r="BB13" s="752">
        <f>SUM(BB14:BB17)</f>
        <v>0</v>
      </c>
      <c r="BC13" s="739">
        <f>ROUND(SUM(BC14:BC17),0)</f>
        <v>0</v>
      </c>
      <c r="BD13" s="800">
        <f>ROUND(SUM(BD14:BD17),0)</f>
        <v>0</v>
      </c>
      <c r="BE13" s="752">
        <f>SUM(BE14:BE17)</f>
        <v>0</v>
      </c>
      <c r="BF13" s="739">
        <f>ROUND(SUM(BF14:BF17),0)</f>
        <v>343819</v>
      </c>
      <c r="BG13" s="800">
        <f>ROUND(SUM(BG14:BG17),0)</f>
        <v>250109</v>
      </c>
      <c r="BH13" s="752">
        <f>SUM(BH14:BH17)</f>
        <v>270439.68</v>
      </c>
      <c r="BI13" s="739">
        <f>ROUND(SUM(BI14:BI17),0)</f>
        <v>2198268</v>
      </c>
      <c r="BJ13" s="800">
        <f>ROUND(SUM(BJ14:BJ17),0)</f>
        <v>2046891</v>
      </c>
      <c r="BK13" s="752">
        <f>SUM(BK14:BK17)</f>
        <v>2141746.846</v>
      </c>
      <c r="BL13" s="739">
        <f>ROUND(SUM(BL14:BL17),0)</f>
        <v>0</v>
      </c>
      <c r="BM13" s="800">
        <f>ROUND(SUM(BM14:BM17),0)</f>
        <v>0</v>
      </c>
      <c r="BN13" s="752">
        <f>SUM(BN14:BN17)</f>
        <v>0</v>
      </c>
      <c r="BO13" s="739">
        <f>ROUND(SUM(BO14:BO17),0)</f>
        <v>0</v>
      </c>
      <c r="BP13" s="800">
        <f>ROUND(SUM(BP14:BP17),0)</f>
        <v>0</v>
      </c>
      <c r="BQ13" s="752">
        <f>SUM(BQ14:BQ17)</f>
        <v>0</v>
      </c>
      <c r="BR13" s="739">
        <f>ROUND(SUM(BR14:BR17),0)</f>
        <v>0</v>
      </c>
      <c r="BS13" s="800">
        <f>ROUND(SUM(BS14:BS17),0)</f>
        <v>0</v>
      </c>
      <c r="BT13" s="752">
        <f>SUM(BT14:BT17)</f>
        <v>0</v>
      </c>
      <c r="BU13" s="739">
        <f>ROUND(SUM(BU14:BU17),0)</f>
        <v>0</v>
      </c>
      <c r="BV13" s="800">
        <f>ROUND(SUM(BV14:BV17),0)</f>
        <v>0</v>
      </c>
      <c r="BW13" s="752">
        <f>SUM(BW14:BW17)</f>
        <v>0</v>
      </c>
      <c r="BX13" s="739">
        <f>ROUND(SUM(BX14:BX17),0)</f>
        <v>0</v>
      </c>
      <c r="BY13" s="800">
        <f>ROUND(SUM(BY14:BY17),0)</f>
        <v>0</v>
      </c>
      <c r="BZ13" s="752">
        <f>SUM(BZ14:BZ17)</f>
        <v>0</v>
      </c>
      <c r="CA13" s="739">
        <f>ROUND(SUM(CA14:CA17),0)</f>
        <v>810</v>
      </c>
      <c r="CB13" s="800">
        <f>ROUND(SUM(CB14:CB17),0)</f>
        <v>810</v>
      </c>
      <c r="CC13" s="752">
        <f>SUM(CC14:CC17)</f>
        <v>1008</v>
      </c>
      <c r="CD13" s="739">
        <f>ROUND(SUM(CD14:CD17),0)</f>
        <v>1000</v>
      </c>
      <c r="CE13" s="800">
        <f>ROUND(SUM(CE14:CE17),0)</f>
        <v>3948</v>
      </c>
      <c r="CF13" s="752">
        <f>SUM(CF14:CF17)</f>
        <v>47999</v>
      </c>
      <c r="CG13" s="739">
        <f>ROUND(SUM(CG14:CG17),0)</f>
        <v>0</v>
      </c>
      <c r="CH13" s="800">
        <f>ROUND(SUM(CH14:CH17),0)</f>
        <v>0</v>
      </c>
      <c r="CI13" s="752">
        <f>SUM(CI14:CI17)</f>
        <v>0</v>
      </c>
      <c r="CJ13" s="739">
        <f>ROUND(SUM(CJ14:CJ17),0)</f>
        <v>0</v>
      </c>
      <c r="CK13" s="800">
        <f>ROUND(SUM(CK14:CK17),0)</f>
        <v>0</v>
      </c>
      <c r="CL13" s="752">
        <f>SUM(CL14:CL17)</f>
        <v>0</v>
      </c>
      <c r="CM13" s="739">
        <f>ROUND(SUM(CM14:CM17),0)</f>
        <v>1810</v>
      </c>
      <c r="CN13" s="800">
        <f>ROUND(SUM(CN14:CN17),0)</f>
        <v>4758</v>
      </c>
      <c r="CO13" s="752">
        <f>SUM(CO14:CO17)</f>
        <v>49007</v>
      </c>
      <c r="CP13" s="739">
        <f t="shared" si="3"/>
        <v>2200078</v>
      </c>
      <c r="CQ13" s="800">
        <f t="shared" si="4"/>
        <v>2051649</v>
      </c>
      <c r="CR13" s="752">
        <f t="shared" si="5"/>
        <v>2190753.846</v>
      </c>
      <c r="CS13" s="739">
        <f>ROUND(SUM(CS14:CS17),0)</f>
        <v>7132</v>
      </c>
      <c r="CT13" s="800">
        <f>ROUND(SUM(CT14:CT17),0)</f>
        <v>6134</v>
      </c>
      <c r="CU13" s="752">
        <f>SUM(CU14:CU17)</f>
        <v>6132.091</v>
      </c>
      <c r="CV13" s="739">
        <f>ROUND(SUM(CV14:CV17),0)</f>
        <v>0</v>
      </c>
      <c r="CW13" s="800">
        <f>ROUND(SUM(CW14:CW17),0)</f>
        <v>0</v>
      </c>
      <c r="CX13" s="752">
        <f>SUM(CX14:CX17)</f>
        <v>0</v>
      </c>
      <c r="CY13" s="739">
        <f>ROUND(SUM(CY14:CY17),0)</f>
        <v>0</v>
      </c>
      <c r="CZ13" s="800">
        <f>ROUND(SUM(CZ14:CZ17),0)</f>
        <v>16</v>
      </c>
      <c r="DA13" s="752">
        <f>SUM(DA14:DA17)</f>
        <v>16.188</v>
      </c>
      <c r="DB13" s="739">
        <f>ROUND(SUM(DB14:DB17),0)</f>
        <v>78545</v>
      </c>
      <c r="DC13" s="800">
        <f>ROUND(SUM(DC14:DC17),0)</f>
        <v>102140</v>
      </c>
      <c r="DD13" s="752">
        <f>SUM(DD14:DD17)</f>
        <v>102127.43000000001</v>
      </c>
      <c r="DE13" s="739">
        <f>ROUND(SUM(DE14:DE17),0)</f>
        <v>85677</v>
      </c>
      <c r="DF13" s="800">
        <f>ROUND(SUM(DF14:DF17),0)</f>
        <v>108290</v>
      </c>
      <c r="DG13" s="752">
        <f>SUM(DG14:DG17)</f>
        <v>108275.70899999999</v>
      </c>
      <c r="DH13" s="739">
        <f>ROUND(SUM(DH14:DH17),0)</f>
        <v>110358</v>
      </c>
      <c r="DI13" s="800">
        <f>ROUND(SUM(DI14:DI17),0)</f>
        <v>132838</v>
      </c>
      <c r="DJ13" s="752">
        <f>SUM(DJ14:DJ17)</f>
        <v>144943</v>
      </c>
      <c r="DK13" s="739">
        <f>ROUND(SUM(DK14:DK17),0)</f>
        <v>94558</v>
      </c>
      <c r="DL13" s="800">
        <f>ROUND(SUM(DL14:DL17),0)</f>
        <v>94558</v>
      </c>
      <c r="DM13" s="752">
        <f>SUM(DM14:DM17)</f>
        <v>90235</v>
      </c>
      <c r="DN13" s="739">
        <f>ROUND(SUM(DN14:DN17),0)</f>
        <v>2490671</v>
      </c>
      <c r="DO13" s="800">
        <f>ROUND(SUM(DO14:DO17),0)</f>
        <v>2387335</v>
      </c>
      <c r="DP13" s="752">
        <f>SUM(DP14:DP17)</f>
        <v>2534207.5549999997</v>
      </c>
      <c r="DQ13" s="822">
        <f t="shared" si="7"/>
        <v>106.15215522748167</v>
      </c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</row>
    <row r="14" spans="1:218" ht="12.75" customHeight="1">
      <c r="A14" s="713"/>
      <c r="B14" s="714" t="s">
        <v>44</v>
      </c>
      <c r="C14" s="1961">
        <v>911</v>
      </c>
      <c r="D14" s="740"/>
      <c r="E14" s="801"/>
      <c r="F14" s="753"/>
      <c r="G14" s="740">
        <v>264000</v>
      </c>
      <c r="H14" s="801">
        <v>272000</v>
      </c>
      <c r="I14" s="753">
        <v>286207</v>
      </c>
      <c r="J14" s="740">
        <v>100000</v>
      </c>
      <c r="K14" s="801">
        <v>62190</v>
      </c>
      <c r="L14" s="753">
        <v>70489</v>
      </c>
      <c r="M14" s="740"/>
      <c r="N14" s="801"/>
      <c r="O14" s="753"/>
      <c r="P14" s="740"/>
      <c r="Q14" s="801"/>
      <c r="R14" s="753"/>
      <c r="S14" s="740"/>
      <c r="T14" s="801"/>
      <c r="U14" s="753"/>
      <c r="V14" s="740"/>
      <c r="W14" s="801"/>
      <c r="X14" s="753"/>
      <c r="Y14" s="740"/>
      <c r="Z14" s="801"/>
      <c r="AA14" s="753"/>
      <c r="AB14" s="740"/>
      <c r="AC14" s="801"/>
      <c r="AD14" s="753"/>
      <c r="AE14" s="740"/>
      <c r="AF14" s="801"/>
      <c r="AG14" s="753"/>
      <c r="AH14" s="740"/>
      <c r="AI14" s="801"/>
      <c r="AJ14" s="753"/>
      <c r="AK14" s="740"/>
      <c r="AL14" s="801"/>
      <c r="AM14" s="753"/>
      <c r="AN14" s="740"/>
      <c r="AO14" s="801"/>
      <c r="AP14" s="753"/>
      <c r="AQ14" s="740"/>
      <c r="AR14" s="801"/>
      <c r="AS14" s="753"/>
      <c r="AT14" s="740"/>
      <c r="AU14" s="801"/>
      <c r="AV14" s="753"/>
      <c r="AW14" s="740"/>
      <c r="AX14" s="801"/>
      <c r="AY14" s="753"/>
      <c r="AZ14" s="740"/>
      <c r="BA14" s="801"/>
      <c r="BB14" s="753"/>
      <c r="BC14" s="740"/>
      <c r="BD14" s="801"/>
      <c r="BE14" s="753"/>
      <c r="BF14" s="740"/>
      <c r="BG14" s="801"/>
      <c r="BH14" s="753"/>
      <c r="BI14" s="740">
        <f aca="true" t="shared" si="8" ref="BI14:BK17">D14+G14+J14+M14+P14+S14+V14+Y14+AB14+AE14+AH14+AK14+AN14+AQ14+AT14+AW14+AZ14+BC14+BF14</f>
        <v>364000</v>
      </c>
      <c r="BJ14" s="801">
        <f t="shared" si="8"/>
        <v>334190</v>
      </c>
      <c r="BK14" s="753">
        <f t="shared" si="8"/>
        <v>356696</v>
      </c>
      <c r="BL14" s="740"/>
      <c r="BM14" s="801"/>
      <c r="BN14" s="753"/>
      <c r="BO14" s="740"/>
      <c r="BP14" s="801"/>
      <c r="BQ14" s="753"/>
      <c r="BR14" s="740"/>
      <c r="BS14" s="801"/>
      <c r="BT14" s="753"/>
      <c r="BU14" s="740"/>
      <c r="BV14" s="801"/>
      <c r="BW14" s="753"/>
      <c r="BX14" s="740"/>
      <c r="BY14" s="801"/>
      <c r="BZ14" s="753"/>
      <c r="CA14" s="740"/>
      <c r="CB14" s="801"/>
      <c r="CC14" s="753"/>
      <c r="CD14" s="740"/>
      <c r="CE14" s="801"/>
      <c r="CF14" s="753"/>
      <c r="CG14" s="740"/>
      <c r="CH14" s="801"/>
      <c r="CI14" s="753"/>
      <c r="CJ14" s="740"/>
      <c r="CK14" s="801"/>
      <c r="CL14" s="753"/>
      <c r="CM14" s="740">
        <f aca="true" t="shared" si="9" ref="CM14:CO17">BL14+BO14+BR14+BU14+BX14+CA14+CD14+CG14+CJ14</f>
        <v>0</v>
      </c>
      <c r="CN14" s="801">
        <f t="shared" si="9"/>
        <v>0</v>
      </c>
      <c r="CO14" s="753">
        <f t="shared" si="9"/>
        <v>0</v>
      </c>
      <c r="CP14" s="740">
        <f t="shared" si="3"/>
        <v>364000</v>
      </c>
      <c r="CQ14" s="801">
        <f t="shared" si="4"/>
        <v>334190</v>
      </c>
      <c r="CR14" s="753">
        <f t="shared" si="5"/>
        <v>356696</v>
      </c>
      <c r="CS14" s="740">
        <v>5100</v>
      </c>
      <c r="CT14" s="801">
        <v>4983</v>
      </c>
      <c r="CU14" s="753">
        <v>4982.4</v>
      </c>
      <c r="CV14" s="740"/>
      <c r="CW14" s="801"/>
      <c r="CX14" s="753"/>
      <c r="CY14" s="740"/>
      <c r="CZ14" s="801"/>
      <c r="DA14" s="753"/>
      <c r="DB14" s="740">
        <v>11000</v>
      </c>
      <c r="DC14" s="801">
        <v>15126</v>
      </c>
      <c r="DD14" s="753">
        <v>15123.414</v>
      </c>
      <c r="DE14" s="740">
        <f aca="true" t="shared" si="10" ref="DE14:DG17">CS14+CV14+CY14+DB14</f>
        <v>16100</v>
      </c>
      <c r="DF14" s="801">
        <f t="shared" si="10"/>
        <v>20109</v>
      </c>
      <c r="DG14" s="753">
        <f t="shared" si="10"/>
        <v>20105.814</v>
      </c>
      <c r="DH14" s="740"/>
      <c r="DI14" s="801"/>
      <c r="DJ14" s="753"/>
      <c r="DK14" s="740"/>
      <c r="DL14" s="801"/>
      <c r="DM14" s="753"/>
      <c r="DN14" s="740">
        <f>CP14+DE14+DH14+DK14</f>
        <v>380100</v>
      </c>
      <c r="DO14" s="801">
        <f aca="true" t="shared" si="11" ref="DO14:DP17">CQ14+DF14+DI14+DL14</f>
        <v>354299</v>
      </c>
      <c r="DP14" s="753">
        <f t="shared" si="11"/>
        <v>376801.814</v>
      </c>
      <c r="DQ14" s="823">
        <f t="shared" si="7"/>
        <v>106.35136254971084</v>
      </c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</row>
    <row r="15" spans="1:218" ht="12.75" customHeight="1">
      <c r="A15" s="713"/>
      <c r="B15" s="714" t="s">
        <v>896</v>
      </c>
      <c r="C15" s="1961" t="s">
        <v>46</v>
      </c>
      <c r="D15" s="740">
        <v>6300</v>
      </c>
      <c r="E15" s="801">
        <v>6300</v>
      </c>
      <c r="F15" s="753">
        <v>6580.743</v>
      </c>
      <c r="G15" s="740">
        <v>661554</v>
      </c>
      <c r="H15" s="801">
        <v>498450</v>
      </c>
      <c r="I15" s="753">
        <v>520229</v>
      </c>
      <c r="J15" s="740"/>
      <c r="K15" s="801"/>
      <c r="L15" s="753">
        <v>4620</v>
      </c>
      <c r="M15" s="740"/>
      <c r="N15" s="801"/>
      <c r="O15" s="753"/>
      <c r="P15" s="740"/>
      <c r="Q15" s="801"/>
      <c r="R15" s="753"/>
      <c r="S15" s="740">
        <v>3198</v>
      </c>
      <c r="T15" s="801">
        <v>3198</v>
      </c>
      <c r="U15" s="753">
        <v>3845</v>
      </c>
      <c r="V15" s="740">
        <v>102362</v>
      </c>
      <c r="W15" s="801">
        <v>116687</v>
      </c>
      <c r="X15" s="753">
        <v>112403</v>
      </c>
      <c r="Y15" s="740">
        <v>1700</v>
      </c>
      <c r="Z15" s="801">
        <v>2902</v>
      </c>
      <c r="AA15" s="753">
        <v>4895.522</v>
      </c>
      <c r="AB15" s="740"/>
      <c r="AC15" s="801"/>
      <c r="AD15" s="753"/>
      <c r="AE15" s="740"/>
      <c r="AF15" s="801"/>
      <c r="AG15" s="753"/>
      <c r="AH15" s="740">
        <v>75660</v>
      </c>
      <c r="AI15" s="801">
        <v>94769</v>
      </c>
      <c r="AJ15" s="753">
        <v>109503.957</v>
      </c>
      <c r="AK15" s="740"/>
      <c r="AL15" s="801"/>
      <c r="AM15" s="753"/>
      <c r="AN15" s="740"/>
      <c r="AO15" s="801"/>
      <c r="AP15" s="753"/>
      <c r="AQ15" s="740"/>
      <c r="AR15" s="801"/>
      <c r="AS15" s="753"/>
      <c r="AT15" s="740"/>
      <c r="AU15" s="801"/>
      <c r="AV15" s="753"/>
      <c r="AW15" s="740">
        <v>271564</v>
      </c>
      <c r="AX15" s="801">
        <v>348302.631</v>
      </c>
      <c r="AY15" s="753">
        <v>350940.894</v>
      </c>
      <c r="AZ15" s="740"/>
      <c r="BA15" s="801"/>
      <c r="BB15" s="753"/>
      <c r="BC15" s="740"/>
      <c r="BD15" s="801"/>
      <c r="BE15" s="753"/>
      <c r="BF15" s="740">
        <v>20050</v>
      </c>
      <c r="BG15" s="801">
        <f>25560-4000</f>
        <v>21560</v>
      </c>
      <c r="BH15" s="753">
        <f>29775.664-4000</f>
        <v>25775.664</v>
      </c>
      <c r="BI15" s="740">
        <f t="shared" si="8"/>
        <v>1142388</v>
      </c>
      <c r="BJ15" s="801">
        <f t="shared" si="8"/>
        <v>1092168.631</v>
      </c>
      <c r="BK15" s="753">
        <f t="shared" si="8"/>
        <v>1138793.78</v>
      </c>
      <c r="BL15" s="740"/>
      <c r="BM15" s="801"/>
      <c r="BN15" s="753"/>
      <c r="BO15" s="740"/>
      <c r="BP15" s="801"/>
      <c r="BQ15" s="753"/>
      <c r="BR15" s="740"/>
      <c r="BS15" s="801"/>
      <c r="BT15" s="753"/>
      <c r="BU15" s="740"/>
      <c r="BV15" s="801"/>
      <c r="BW15" s="753"/>
      <c r="BX15" s="740"/>
      <c r="BY15" s="801"/>
      <c r="BZ15" s="753"/>
      <c r="CA15" s="740"/>
      <c r="CB15" s="801"/>
      <c r="CC15" s="753"/>
      <c r="CD15" s="740">
        <v>1000</v>
      </c>
      <c r="CE15" s="801">
        <v>3948</v>
      </c>
      <c r="CF15" s="753">
        <f>47999</f>
        <v>47999</v>
      </c>
      <c r="CG15" s="740"/>
      <c r="CH15" s="801"/>
      <c r="CI15" s="753"/>
      <c r="CJ15" s="740"/>
      <c r="CK15" s="801"/>
      <c r="CL15" s="753"/>
      <c r="CM15" s="740">
        <f t="shared" si="9"/>
        <v>1000</v>
      </c>
      <c r="CN15" s="801">
        <f t="shared" si="9"/>
        <v>3948</v>
      </c>
      <c r="CO15" s="753">
        <f t="shared" si="9"/>
        <v>47999</v>
      </c>
      <c r="CP15" s="740">
        <f t="shared" si="3"/>
        <v>1143388</v>
      </c>
      <c r="CQ15" s="801">
        <f t="shared" si="4"/>
        <v>1096116.631</v>
      </c>
      <c r="CR15" s="753">
        <f t="shared" si="5"/>
        <v>1186792.78</v>
      </c>
      <c r="CS15" s="740">
        <v>1600</v>
      </c>
      <c r="CT15" s="801">
        <v>1029</v>
      </c>
      <c r="CU15" s="753">
        <v>1027.9569999999999</v>
      </c>
      <c r="CV15" s="740"/>
      <c r="CW15" s="801"/>
      <c r="CX15" s="753"/>
      <c r="CY15" s="740"/>
      <c r="CZ15" s="801">
        <v>15</v>
      </c>
      <c r="DA15" s="753">
        <v>15.417</v>
      </c>
      <c r="DB15" s="740">
        <v>65466</v>
      </c>
      <c r="DC15" s="801">
        <v>82005</v>
      </c>
      <c r="DD15" s="753">
        <v>81997.89</v>
      </c>
      <c r="DE15" s="740">
        <f t="shared" si="10"/>
        <v>67066</v>
      </c>
      <c r="DF15" s="801">
        <f t="shared" si="10"/>
        <v>83049</v>
      </c>
      <c r="DG15" s="753">
        <f t="shared" si="10"/>
        <v>83041.264</v>
      </c>
      <c r="DH15" s="740">
        <v>94967</v>
      </c>
      <c r="DI15" s="801">
        <v>109542.676</v>
      </c>
      <c r="DJ15" s="753">
        <f>'6_sz_tábla B.'!F50</f>
        <v>118996</v>
      </c>
      <c r="DK15" s="740">
        <v>83492</v>
      </c>
      <c r="DL15" s="801">
        <v>83492</v>
      </c>
      <c r="DM15" s="753">
        <v>79352</v>
      </c>
      <c r="DN15" s="740">
        <f>CP15+DE15+DH15+DK15</f>
        <v>1388913</v>
      </c>
      <c r="DO15" s="801">
        <f t="shared" si="11"/>
        <v>1372200.307</v>
      </c>
      <c r="DP15" s="753">
        <f t="shared" si="11"/>
        <v>1468182.044</v>
      </c>
      <c r="DQ15" s="823">
        <f t="shared" si="7"/>
        <v>106.99473222024282</v>
      </c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</row>
    <row r="16" spans="1:218" ht="12.75" customHeight="1">
      <c r="A16" s="713"/>
      <c r="B16" s="715" t="s">
        <v>224</v>
      </c>
      <c r="C16" s="1962">
        <v>919</v>
      </c>
      <c r="D16" s="740">
        <v>3051</v>
      </c>
      <c r="E16" s="801">
        <v>3051</v>
      </c>
      <c r="F16" s="753">
        <v>3115.413</v>
      </c>
      <c r="G16" s="740">
        <v>143316</v>
      </c>
      <c r="H16" s="801">
        <v>127800</v>
      </c>
      <c r="I16" s="753">
        <v>132999.364</v>
      </c>
      <c r="J16" s="740">
        <v>15958</v>
      </c>
      <c r="K16" s="801">
        <v>14756</v>
      </c>
      <c r="L16" s="753">
        <v>14814</v>
      </c>
      <c r="M16" s="740"/>
      <c r="N16" s="801"/>
      <c r="O16" s="753"/>
      <c r="P16" s="740"/>
      <c r="Q16" s="801"/>
      <c r="R16" s="753"/>
      <c r="S16" s="740">
        <v>863</v>
      </c>
      <c r="T16" s="801">
        <v>863</v>
      </c>
      <c r="U16" s="753">
        <v>1022</v>
      </c>
      <c r="V16" s="740">
        <v>27638</v>
      </c>
      <c r="W16" s="801">
        <v>31505</v>
      </c>
      <c r="X16" s="753">
        <v>30349</v>
      </c>
      <c r="Y16" s="740">
        <v>459</v>
      </c>
      <c r="Z16" s="801">
        <v>559</v>
      </c>
      <c r="AA16" s="753">
        <v>547.215</v>
      </c>
      <c r="AB16" s="740"/>
      <c r="AC16" s="801"/>
      <c r="AD16" s="753"/>
      <c r="AE16" s="740"/>
      <c r="AF16" s="801"/>
      <c r="AG16" s="753"/>
      <c r="AH16" s="740">
        <v>107422</v>
      </c>
      <c r="AI16" s="801">
        <v>104992</v>
      </c>
      <c r="AJ16" s="753">
        <v>103374.691</v>
      </c>
      <c r="AK16" s="740"/>
      <c r="AL16" s="801"/>
      <c r="AM16" s="753"/>
      <c r="AN16" s="740"/>
      <c r="AO16" s="801"/>
      <c r="AP16" s="753"/>
      <c r="AQ16" s="740"/>
      <c r="AR16" s="801"/>
      <c r="AS16" s="753"/>
      <c r="AT16" s="740"/>
      <c r="AU16" s="801"/>
      <c r="AV16" s="753"/>
      <c r="AW16" s="740">
        <v>58904</v>
      </c>
      <c r="AX16" s="801">
        <v>87957.298</v>
      </c>
      <c r="AY16" s="753">
        <v>87074.906</v>
      </c>
      <c r="AZ16" s="740"/>
      <c r="BA16" s="801"/>
      <c r="BB16" s="753"/>
      <c r="BC16" s="740"/>
      <c r="BD16" s="801"/>
      <c r="BE16" s="753"/>
      <c r="BF16" s="740">
        <v>72644</v>
      </c>
      <c r="BG16" s="801">
        <v>22424</v>
      </c>
      <c r="BH16" s="753">
        <v>14203.979</v>
      </c>
      <c r="BI16" s="740">
        <f t="shared" si="8"/>
        <v>430255</v>
      </c>
      <c r="BJ16" s="801">
        <f t="shared" si="8"/>
        <v>393907.298</v>
      </c>
      <c r="BK16" s="753">
        <f t="shared" si="8"/>
        <v>387500.568</v>
      </c>
      <c r="BL16" s="740"/>
      <c r="BM16" s="801"/>
      <c r="BN16" s="753"/>
      <c r="BO16" s="740"/>
      <c r="BP16" s="801"/>
      <c r="BQ16" s="753"/>
      <c r="BR16" s="740"/>
      <c r="BS16" s="801"/>
      <c r="BT16" s="753"/>
      <c r="BU16" s="740"/>
      <c r="BV16" s="801"/>
      <c r="BW16" s="753"/>
      <c r="BX16" s="740"/>
      <c r="BY16" s="801"/>
      <c r="BZ16" s="753"/>
      <c r="CA16" s="740">
        <v>810</v>
      </c>
      <c r="CB16" s="801">
        <v>810</v>
      </c>
      <c r="CC16" s="753">
        <v>1008</v>
      </c>
      <c r="CD16" s="740"/>
      <c r="CE16" s="801"/>
      <c r="CF16" s="753"/>
      <c r="CG16" s="740"/>
      <c r="CH16" s="801"/>
      <c r="CI16" s="753"/>
      <c r="CJ16" s="740"/>
      <c r="CK16" s="801"/>
      <c r="CL16" s="753"/>
      <c r="CM16" s="740">
        <f t="shared" si="9"/>
        <v>810</v>
      </c>
      <c r="CN16" s="801">
        <f t="shared" si="9"/>
        <v>810</v>
      </c>
      <c r="CO16" s="753">
        <f t="shared" si="9"/>
        <v>1008</v>
      </c>
      <c r="CP16" s="740">
        <f t="shared" si="3"/>
        <v>431065</v>
      </c>
      <c r="CQ16" s="801">
        <f t="shared" si="4"/>
        <v>394717.298</v>
      </c>
      <c r="CR16" s="753">
        <f t="shared" si="5"/>
        <v>388508.568</v>
      </c>
      <c r="CS16" s="740">
        <v>432</v>
      </c>
      <c r="CT16" s="801">
        <v>122</v>
      </c>
      <c r="CU16" s="753">
        <v>121.734</v>
      </c>
      <c r="CV16" s="740"/>
      <c r="CW16" s="801"/>
      <c r="CX16" s="753"/>
      <c r="CY16" s="740"/>
      <c r="CZ16" s="801">
        <v>1</v>
      </c>
      <c r="DA16" s="753">
        <v>0.771</v>
      </c>
      <c r="DB16" s="740">
        <v>2079</v>
      </c>
      <c r="DC16" s="801">
        <v>4203</v>
      </c>
      <c r="DD16" s="753">
        <v>4201.403</v>
      </c>
      <c r="DE16" s="740">
        <f t="shared" si="10"/>
        <v>2511</v>
      </c>
      <c r="DF16" s="801">
        <f t="shared" si="10"/>
        <v>4326</v>
      </c>
      <c r="DG16" s="753">
        <f t="shared" si="10"/>
        <v>4323.908</v>
      </c>
      <c r="DH16" s="740">
        <v>15391</v>
      </c>
      <c r="DI16" s="801">
        <v>22124</v>
      </c>
      <c r="DJ16" s="753">
        <f>'6_sz_tábla B.'!G50</f>
        <v>24557</v>
      </c>
      <c r="DK16" s="740">
        <v>11066</v>
      </c>
      <c r="DL16" s="801">
        <v>11066</v>
      </c>
      <c r="DM16" s="753">
        <v>10267</v>
      </c>
      <c r="DN16" s="740">
        <f>CP16+DE16+DH16+DK16</f>
        <v>460033</v>
      </c>
      <c r="DO16" s="801">
        <f t="shared" si="11"/>
        <v>432233.298</v>
      </c>
      <c r="DP16" s="753">
        <f t="shared" si="11"/>
        <v>427656.476</v>
      </c>
      <c r="DQ16" s="823">
        <f t="shared" si="7"/>
        <v>98.94112230104031</v>
      </c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</row>
    <row r="17" spans="1:218" ht="12.75" customHeight="1">
      <c r="A17" s="716"/>
      <c r="B17" s="717" t="s">
        <v>897</v>
      </c>
      <c r="C17" s="1961">
        <v>916</v>
      </c>
      <c r="D17" s="740"/>
      <c r="E17" s="801"/>
      <c r="F17" s="753"/>
      <c r="G17" s="740"/>
      <c r="H17" s="801"/>
      <c r="I17" s="753"/>
      <c r="J17" s="740"/>
      <c r="K17" s="801"/>
      <c r="L17" s="753"/>
      <c r="M17" s="740"/>
      <c r="N17" s="801"/>
      <c r="O17" s="753"/>
      <c r="P17" s="740"/>
      <c r="Q17" s="801"/>
      <c r="R17" s="753"/>
      <c r="S17" s="740"/>
      <c r="T17" s="801"/>
      <c r="U17" s="753"/>
      <c r="V17" s="740"/>
      <c r="W17" s="801"/>
      <c r="X17" s="753"/>
      <c r="Y17" s="740"/>
      <c r="Z17" s="801"/>
      <c r="AA17" s="753"/>
      <c r="AB17" s="740"/>
      <c r="AC17" s="801"/>
      <c r="AD17" s="753"/>
      <c r="AE17" s="740"/>
      <c r="AF17" s="801"/>
      <c r="AG17" s="753"/>
      <c r="AH17" s="740">
        <v>10500</v>
      </c>
      <c r="AI17" s="801">
        <v>20500</v>
      </c>
      <c r="AJ17" s="753">
        <f>25306.083-0.2</f>
        <v>25305.882999999998</v>
      </c>
      <c r="AK17" s="740"/>
      <c r="AL17" s="801"/>
      <c r="AM17" s="753"/>
      <c r="AN17" s="740"/>
      <c r="AO17" s="801"/>
      <c r="AP17" s="753"/>
      <c r="AQ17" s="740"/>
      <c r="AR17" s="801"/>
      <c r="AS17" s="753"/>
      <c r="AT17" s="740"/>
      <c r="AU17" s="801"/>
      <c r="AV17" s="753"/>
      <c r="AW17" s="740"/>
      <c r="AX17" s="801"/>
      <c r="AY17" s="753">
        <f>2990.878-0.3</f>
        <v>2990.578</v>
      </c>
      <c r="AZ17" s="740"/>
      <c r="BA17" s="801"/>
      <c r="BB17" s="753"/>
      <c r="BC17" s="740"/>
      <c r="BD17" s="801"/>
      <c r="BE17" s="753"/>
      <c r="BF17" s="740">
        <v>251125</v>
      </c>
      <c r="BG17" s="801">
        <v>206125</v>
      </c>
      <c r="BH17" s="753">
        <v>230460.037</v>
      </c>
      <c r="BI17" s="740">
        <f t="shared" si="8"/>
        <v>261625</v>
      </c>
      <c r="BJ17" s="801">
        <f t="shared" si="8"/>
        <v>226625</v>
      </c>
      <c r="BK17" s="753">
        <f t="shared" si="8"/>
        <v>258756.49800000002</v>
      </c>
      <c r="BL17" s="740"/>
      <c r="BM17" s="801"/>
      <c r="BN17" s="753"/>
      <c r="BO17" s="740"/>
      <c r="BP17" s="801"/>
      <c r="BQ17" s="753"/>
      <c r="BR17" s="740"/>
      <c r="BS17" s="801"/>
      <c r="BT17" s="753"/>
      <c r="BU17" s="740"/>
      <c r="BV17" s="801"/>
      <c r="BW17" s="753"/>
      <c r="BX17" s="740"/>
      <c r="BY17" s="801"/>
      <c r="BZ17" s="753"/>
      <c r="CA17" s="740"/>
      <c r="CB17" s="801"/>
      <c r="CC17" s="753"/>
      <c r="CD17" s="740"/>
      <c r="CE17" s="801"/>
      <c r="CF17" s="753"/>
      <c r="CG17" s="740"/>
      <c r="CH17" s="801"/>
      <c r="CI17" s="753"/>
      <c r="CJ17" s="740"/>
      <c r="CK17" s="801"/>
      <c r="CL17" s="753"/>
      <c r="CM17" s="740">
        <f t="shared" si="9"/>
        <v>0</v>
      </c>
      <c r="CN17" s="801">
        <f t="shared" si="9"/>
        <v>0</v>
      </c>
      <c r="CO17" s="753">
        <f t="shared" si="9"/>
        <v>0</v>
      </c>
      <c r="CP17" s="740">
        <f t="shared" si="3"/>
        <v>261625</v>
      </c>
      <c r="CQ17" s="801">
        <f t="shared" si="4"/>
        <v>226625</v>
      </c>
      <c r="CR17" s="2131">
        <f t="shared" si="5"/>
        <v>258756.49800000002</v>
      </c>
      <c r="CS17" s="740"/>
      <c r="CT17" s="801"/>
      <c r="CU17" s="753"/>
      <c r="CV17" s="740"/>
      <c r="CW17" s="801"/>
      <c r="CX17" s="753"/>
      <c r="CY17" s="740"/>
      <c r="CZ17" s="801"/>
      <c r="DA17" s="753"/>
      <c r="DB17" s="740"/>
      <c r="DC17" s="801">
        <v>806</v>
      </c>
      <c r="DD17" s="753">
        <v>804.723</v>
      </c>
      <c r="DE17" s="740">
        <f t="shared" si="10"/>
        <v>0</v>
      </c>
      <c r="DF17" s="801">
        <f t="shared" si="10"/>
        <v>806</v>
      </c>
      <c r="DG17" s="2136">
        <f t="shared" si="10"/>
        <v>804.723</v>
      </c>
      <c r="DH17" s="740"/>
      <c r="DI17" s="801">
        <v>1171</v>
      </c>
      <c r="DJ17" s="753">
        <f>'6_sz_tábla B.'!H50</f>
        <v>1390</v>
      </c>
      <c r="DK17" s="740"/>
      <c r="DL17" s="801"/>
      <c r="DM17" s="753">
        <v>616</v>
      </c>
      <c r="DN17" s="740">
        <f>CP17+DE17+DH17+DK17</f>
        <v>261625</v>
      </c>
      <c r="DO17" s="801">
        <f t="shared" si="11"/>
        <v>228602</v>
      </c>
      <c r="DP17" s="753">
        <f t="shared" si="11"/>
        <v>261567.22100000002</v>
      </c>
      <c r="DQ17" s="823">
        <f t="shared" si="7"/>
        <v>114.42035546495657</v>
      </c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</row>
    <row r="18" spans="1:232" s="147" customFormat="1" ht="12.75" customHeight="1">
      <c r="A18" s="718" t="s">
        <v>155</v>
      </c>
      <c r="B18" s="719" t="s">
        <v>821</v>
      </c>
      <c r="C18" s="1963"/>
      <c r="D18" s="742">
        <f aca="true" t="shared" si="12" ref="D18:AF18">D19+D25+D28</f>
        <v>5000</v>
      </c>
      <c r="E18" s="803">
        <f t="shared" si="12"/>
        <v>5000</v>
      </c>
      <c r="F18" s="755">
        <f t="shared" si="12"/>
        <v>4958</v>
      </c>
      <c r="G18" s="742">
        <f t="shared" si="12"/>
        <v>0</v>
      </c>
      <c r="H18" s="803">
        <f t="shared" si="12"/>
        <v>0</v>
      </c>
      <c r="I18" s="755">
        <f t="shared" si="12"/>
        <v>0</v>
      </c>
      <c r="J18" s="742">
        <f t="shared" si="12"/>
        <v>59104</v>
      </c>
      <c r="K18" s="803">
        <f t="shared" si="12"/>
        <v>54654</v>
      </c>
      <c r="L18" s="755">
        <f t="shared" si="12"/>
        <v>50266</v>
      </c>
      <c r="M18" s="742">
        <f t="shared" si="12"/>
        <v>0</v>
      </c>
      <c r="N18" s="803">
        <f t="shared" si="12"/>
        <v>0</v>
      </c>
      <c r="O18" s="755">
        <f t="shared" si="12"/>
        <v>0</v>
      </c>
      <c r="P18" s="742">
        <f t="shared" si="12"/>
        <v>0</v>
      </c>
      <c r="Q18" s="803">
        <f t="shared" si="12"/>
        <v>0</v>
      </c>
      <c r="R18" s="755">
        <f t="shared" si="12"/>
        <v>0</v>
      </c>
      <c r="S18" s="742">
        <f t="shared" si="12"/>
        <v>0</v>
      </c>
      <c r="T18" s="803">
        <f t="shared" si="12"/>
        <v>0</v>
      </c>
      <c r="U18" s="755">
        <f t="shared" si="12"/>
        <v>0</v>
      </c>
      <c r="V18" s="742">
        <f t="shared" si="12"/>
        <v>0</v>
      </c>
      <c r="W18" s="803">
        <f t="shared" si="12"/>
        <v>0</v>
      </c>
      <c r="X18" s="755">
        <f t="shared" si="12"/>
        <v>0</v>
      </c>
      <c r="Y18" s="742">
        <f t="shared" si="12"/>
        <v>0</v>
      </c>
      <c r="Z18" s="803">
        <f t="shared" si="12"/>
        <v>0</v>
      </c>
      <c r="AA18" s="755">
        <f t="shared" si="12"/>
        <v>0</v>
      </c>
      <c r="AB18" s="742">
        <f t="shared" si="12"/>
        <v>0</v>
      </c>
      <c r="AC18" s="803">
        <f t="shared" si="12"/>
        <v>0</v>
      </c>
      <c r="AD18" s="755">
        <f t="shared" si="12"/>
        <v>0</v>
      </c>
      <c r="AE18" s="742">
        <f t="shared" si="12"/>
        <v>0</v>
      </c>
      <c r="AF18" s="803">
        <f t="shared" si="12"/>
        <v>0</v>
      </c>
      <c r="AG18" s="755">
        <f aca="true" t="shared" si="13" ref="AG18:BL18">AG19+AG25+AG28</f>
        <v>0</v>
      </c>
      <c r="AH18" s="742">
        <f t="shared" si="13"/>
        <v>326300</v>
      </c>
      <c r="AI18" s="803">
        <f t="shared" si="13"/>
        <v>317300</v>
      </c>
      <c r="AJ18" s="755">
        <f t="shared" si="13"/>
        <v>306756</v>
      </c>
      <c r="AK18" s="742">
        <f t="shared" si="13"/>
        <v>6670813</v>
      </c>
      <c r="AL18" s="803">
        <f t="shared" si="13"/>
        <v>6700813</v>
      </c>
      <c r="AM18" s="755">
        <f t="shared" si="13"/>
        <v>6916215.219999999</v>
      </c>
      <c r="AN18" s="742">
        <f t="shared" si="13"/>
        <v>0</v>
      </c>
      <c r="AO18" s="803">
        <f t="shared" si="13"/>
        <v>0</v>
      </c>
      <c r="AP18" s="755">
        <f t="shared" si="13"/>
        <v>0</v>
      </c>
      <c r="AQ18" s="742">
        <f t="shared" si="13"/>
        <v>0</v>
      </c>
      <c r="AR18" s="803">
        <f t="shared" si="13"/>
        <v>0</v>
      </c>
      <c r="AS18" s="755">
        <f t="shared" si="13"/>
        <v>0</v>
      </c>
      <c r="AT18" s="742">
        <f t="shared" si="13"/>
        <v>0</v>
      </c>
      <c r="AU18" s="803">
        <f t="shared" si="13"/>
        <v>0</v>
      </c>
      <c r="AV18" s="755">
        <f t="shared" si="13"/>
        <v>0</v>
      </c>
      <c r="AW18" s="742">
        <f t="shared" si="13"/>
        <v>0</v>
      </c>
      <c r="AX18" s="803">
        <f t="shared" si="13"/>
        <v>0</v>
      </c>
      <c r="AY18" s="755">
        <f t="shared" si="13"/>
        <v>0</v>
      </c>
      <c r="AZ18" s="742">
        <f t="shared" si="13"/>
        <v>0</v>
      </c>
      <c r="BA18" s="803">
        <f t="shared" si="13"/>
        <v>0</v>
      </c>
      <c r="BB18" s="755">
        <f t="shared" si="13"/>
        <v>0</v>
      </c>
      <c r="BC18" s="742">
        <f t="shared" si="13"/>
        <v>301000</v>
      </c>
      <c r="BD18" s="803">
        <f t="shared" si="13"/>
        <v>305000</v>
      </c>
      <c r="BE18" s="755">
        <f t="shared" si="13"/>
        <v>306273.446</v>
      </c>
      <c r="BF18" s="742">
        <f t="shared" si="13"/>
        <v>0</v>
      </c>
      <c r="BG18" s="803">
        <f t="shared" si="13"/>
        <v>4000</v>
      </c>
      <c r="BH18" s="755">
        <f t="shared" si="13"/>
        <v>4000</v>
      </c>
      <c r="BI18" s="742">
        <f t="shared" si="13"/>
        <v>7362217</v>
      </c>
      <c r="BJ18" s="803">
        <f t="shared" si="13"/>
        <v>7386767</v>
      </c>
      <c r="BK18" s="755">
        <f t="shared" si="13"/>
        <v>7588468.219999999</v>
      </c>
      <c r="BL18" s="742">
        <f t="shared" si="13"/>
        <v>0</v>
      </c>
      <c r="BM18" s="803">
        <f aca="true" t="shared" si="14" ref="BM18:CO18">BM19+BM25+BM28</f>
        <v>0</v>
      </c>
      <c r="BN18" s="755">
        <f t="shared" si="14"/>
        <v>0</v>
      </c>
      <c r="BO18" s="742">
        <f t="shared" si="14"/>
        <v>0</v>
      </c>
      <c r="BP18" s="803">
        <f t="shared" si="14"/>
        <v>0</v>
      </c>
      <c r="BQ18" s="755">
        <f t="shared" si="14"/>
        <v>0</v>
      </c>
      <c r="BR18" s="742">
        <f t="shared" si="14"/>
        <v>0</v>
      </c>
      <c r="BS18" s="803">
        <f t="shared" si="14"/>
        <v>0</v>
      </c>
      <c r="BT18" s="755">
        <f t="shared" si="14"/>
        <v>0</v>
      </c>
      <c r="BU18" s="742">
        <f t="shared" si="14"/>
        <v>0</v>
      </c>
      <c r="BV18" s="803">
        <f t="shared" si="14"/>
        <v>0</v>
      </c>
      <c r="BW18" s="755">
        <f t="shared" si="14"/>
        <v>0</v>
      </c>
      <c r="BX18" s="742">
        <f t="shared" si="14"/>
        <v>0</v>
      </c>
      <c r="BY18" s="803">
        <f t="shared" si="14"/>
        <v>0</v>
      </c>
      <c r="BZ18" s="755">
        <f t="shared" si="14"/>
        <v>0</v>
      </c>
      <c r="CA18" s="742">
        <f t="shared" si="14"/>
        <v>3000</v>
      </c>
      <c r="CB18" s="803">
        <f t="shared" si="14"/>
        <v>3000</v>
      </c>
      <c r="CC18" s="755">
        <f t="shared" si="14"/>
        <v>3694</v>
      </c>
      <c r="CD18" s="742">
        <f t="shared" si="14"/>
        <v>0</v>
      </c>
      <c r="CE18" s="803">
        <f t="shared" si="14"/>
        <v>0</v>
      </c>
      <c r="CF18" s="755">
        <f t="shared" si="14"/>
        <v>0</v>
      </c>
      <c r="CG18" s="742">
        <f t="shared" si="14"/>
        <v>0</v>
      </c>
      <c r="CH18" s="803">
        <f t="shared" si="14"/>
        <v>0</v>
      </c>
      <c r="CI18" s="755">
        <f t="shared" si="14"/>
        <v>0</v>
      </c>
      <c r="CJ18" s="742">
        <f t="shared" si="14"/>
        <v>0</v>
      </c>
      <c r="CK18" s="803">
        <f t="shared" si="14"/>
        <v>0</v>
      </c>
      <c r="CL18" s="755">
        <f t="shared" si="14"/>
        <v>0</v>
      </c>
      <c r="CM18" s="742">
        <f t="shared" si="14"/>
        <v>3000</v>
      </c>
      <c r="CN18" s="803">
        <f t="shared" si="14"/>
        <v>3000</v>
      </c>
      <c r="CO18" s="755">
        <f t="shared" si="14"/>
        <v>3694</v>
      </c>
      <c r="CP18" s="742">
        <f t="shared" si="3"/>
        <v>7365217</v>
      </c>
      <c r="CQ18" s="803">
        <f t="shared" si="4"/>
        <v>7389767</v>
      </c>
      <c r="CR18" s="755">
        <f t="shared" si="5"/>
        <v>7592162.219999999</v>
      </c>
      <c r="CS18" s="742">
        <f aca="true" t="shared" si="15" ref="CS18:DA18">CS19+CS25+CS28</f>
        <v>0</v>
      </c>
      <c r="CT18" s="803">
        <f t="shared" si="15"/>
        <v>0</v>
      </c>
      <c r="CU18" s="755">
        <f t="shared" si="15"/>
        <v>0</v>
      </c>
      <c r="CV18" s="742">
        <f>CV19+CV25+CV28</f>
        <v>0</v>
      </c>
      <c r="CW18" s="803">
        <f>CW19+CW25+CW28</f>
        <v>0</v>
      </c>
      <c r="CX18" s="755">
        <f>CX19+CX25+CX28</f>
        <v>0</v>
      </c>
      <c r="CY18" s="742">
        <f t="shared" si="15"/>
        <v>0</v>
      </c>
      <c r="CZ18" s="803">
        <f t="shared" si="15"/>
        <v>0</v>
      </c>
      <c r="DA18" s="755">
        <f t="shared" si="15"/>
        <v>0</v>
      </c>
      <c r="DB18" s="742">
        <f aca="true" t="shared" si="16" ref="DB18:DG18">DB19+DB25+DB28</f>
        <v>0</v>
      </c>
      <c r="DC18" s="803">
        <f t="shared" si="16"/>
        <v>0</v>
      </c>
      <c r="DD18" s="755">
        <f t="shared" si="16"/>
        <v>0</v>
      </c>
      <c r="DE18" s="742">
        <f t="shared" si="16"/>
        <v>0</v>
      </c>
      <c r="DF18" s="803">
        <f t="shared" si="16"/>
        <v>0</v>
      </c>
      <c r="DG18" s="755">
        <f t="shared" si="16"/>
        <v>0</v>
      </c>
      <c r="DH18" s="742">
        <f aca="true" t="shared" si="17" ref="DH18:DP18">DH19+DH25+DH28</f>
        <v>0</v>
      </c>
      <c r="DI18" s="803">
        <f t="shared" si="17"/>
        <v>0</v>
      </c>
      <c r="DJ18" s="755">
        <f t="shared" si="17"/>
        <v>0</v>
      </c>
      <c r="DK18" s="742">
        <f t="shared" si="17"/>
        <v>0</v>
      </c>
      <c r="DL18" s="803">
        <f t="shared" si="17"/>
        <v>0</v>
      </c>
      <c r="DM18" s="755">
        <f t="shared" si="17"/>
        <v>0</v>
      </c>
      <c r="DN18" s="742">
        <f t="shared" si="17"/>
        <v>7365217</v>
      </c>
      <c r="DO18" s="803">
        <f t="shared" si="17"/>
        <v>7389767</v>
      </c>
      <c r="DP18" s="755">
        <f t="shared" si="17"/>
        <v>7592162.219999999</v>
      </c>
      <c r="DQ18" s="824">
        <f t="shared" si="7"/>
        <v>102.73885793692816</v>
      </c>
      <c r="DR18" s="642"/>
      <c r="DS18" s="642"/>
      <c r="DT18" s="642"/>
      <c r="DU18" s="642"/>
      <c r="DV18" s="642"/>
      <c r="DW18" s="642"/>
      <c r="DX18" s="642"/>
      <c r="DY18" s="642"/>
      <c r="DZ18" s="642"/>
      <c r="EA18" s="642"/>
      <c r="EB18" s="642"/>
      <c r="EC18" s="642"/>
      <c r="ED18" s="642"/>
      <c r="EE18" s="642"/>
      <c r="EF18" s="642"/>
      <c r="EG18" s="642"/>
      <c r="EH18" s="642"/>
      <c r="EI18" s="642"/>
      <c r="EJ18" s="642"/>
      <c r="EK18" s="642"/>
      <c r="EL18" s="642"/>
      <c r="EM18" s="642"/>
      <c r="EN18" s="642"/>
      <c r="EO18" s="642"/>
      <c r="EP18" s="642"/>
      <c r="EQ18" s="642"/>
      <c r="ER18" s="642"/>
      <c r="ES18" s="642"/>
      <c r="ET18" s="642"/>
      <c r="EU18" s="642"/>
      <c r="EV18" s="642"/>
      <c r="EW18" s="642"/>
      <c r="EX18" s="642"/>
      <c r="EY18" s="642"/>
      <c r="EZ18" s="642"/>
      <c r="FA18" s="642"/>
      <c r="FB18" s="642"/>
      <c r="FC18" s="642"/>
      <c r="FD18" s="642"/>
      <c r="FE18" s="642"/>
      <c r="FF18" s="642"/>
      <c r="FG18" s="642"/>
      <c r="FH18" s="642"/>
      <c r="FI18" s="642"/>
      <c r="FJ18" s="642"/>
      <c r="FK18" s="642"/>
      <c r="FL18" s="642"/>
      <c r="FM18" s="642"/>
      <c r="FN18" s="642"/>
      <c r="FO18" s="642"/>
      <c r="FP18" s="642"/>
      <c r="FQ18" s="642"/>
      <c r="FR18" s="642"/>
      <c r="FS18" s="642"/>
      <c r="FT18" s="642"/>
      <c r="FU18" s="642"/>
      <c r="FV18" s="642"/>
      <c r="FW18" s="642"/>
      <c r="FX18" s="642"/>
      <c r="FY18" s="642"/>
      <c r="FZ18" s="642"/>
      <c r="GA18" s="642"/>
      <c r="GB18" s="642"/>
      <c r="GC18" s="642"/>
      <c r="GD18" s="642"/>
      <c r="GE18" s="642"/>
      <c r="GF18" s="642"/>
      <c r="GG18" s="642"/>
      <c r="GH18" s="642"/>
      <c r="GI18" s="642"/>
      <c r="GJ18" s="642"/>
      <c r="GK18" s="642"/>
      <c r="GL18" s="642"/>
      <c r="GM18" s="642"/>
      <c r="GN18" s="642"/>
      <c r="GO18" s="642"/>
      <c r="GP18" s="642"/>
      <c r="GQ18" s="642"/>
      <c r="GR18" s="642"/>
      <c r="GS18" s="642"/>
      <c r="GT18" s="642"/>
      <c r="GU18" s="642"/>
      <c r="GV18" s="642"/>
      <c r="GW18" s="642"/>
      <c r="GX18" s="642"/>
      <c r="GY18" s="642"/>
      <c r="GZ18" s="642"/>
      <c r="HA18" s="642"/>
      <c r="HB18" s="642"/>
      <c r="HC18" s="642"/>
      <c r="HD18" s="642"/>
      <c r="HE18" s="642"/>
      <c r="HF18" s="642"/>
      <c r="HG18" s="642"/>
      <c r="HH18" s="642"/>
      <c r="HI18" s="642"/>
      <c r="HJ18" s="642"/>
      <c r="HK18" s="642"/>
      <c r="HL18" s="642"/>
      <c r="HM18" s="642"/>
      <c r="HN18" s="642"/>
      <c r="HO18" s="642"/>
      <c r="HP18" s="642"/>
      <c r="HQ18" s="642"/>
      <c r="HR18" s="642"/>
      <c r="HS18" s="642"/>
      <c r="HT18" s="642"/>
      <c r="HU18" s="642"/>
      <c r="HV18" s="642"/>
      <c r="HW18" s="642"/>
      <c r="HX18" s="642"/>
    </row>
    <row r="19" spans="1:218" ht="12.75" customHeight="1">
      <c r="A19" s="720" t="s">
        <v>53</v>
      </c>
      <c r="B19" s="721" t="s">
        <v>522</v>
      </c>
      <c r="C19" s="1964">
        <v>922</v>
      </c>
      <c r="D19" s="739">
        <f>SUM(D20:D24)</f>
        <v>0</v>
      </c>
      <c r="E19" s="800">
        <f>SUM(E20:E24)</f>
        <v>0</v>
      </c>
      <c r="F19" s="752">
        <f aca="true" t="shared" si="18" ref="F19:BN19">SUM(F20:F24)</f>
        <v>0</v>
      </c>
      <c r="G19" s="739">
        <f t="shared" si="18"/>
        <v>0</v>
      </c>
      <c r="H19" s="800">
        <f t="shared" si="18"/>
        <v>0</v>
      </c>
      <c r="I19" s="752">
        <f t="shared" si="18"/>
        <v>0</v>
      </c>
      <c r="J19" s="739">
        <f t="shared" si="18"/>
        <v>0</v>
      </c>
      <c r="K19" s="800">
        <f t="shared" si="18"/>
        <v>0</v>
      </c>
      <c r="L19" s="752">
        <f t="shared" si="18"/>
        <v>0</v>
      </c>
      <c r="M19" s="739">
        <f t="shared" si="18"/>
        <v>0</v>
      </c>
      <c r="N19" s="800">
        <f t="shared" si="18"/>
        <v>0</v>
      </c>
      <c r="O19" s="752">
        <f t="shared" si="18"/>
        <v>0</v>
      </c>
      <c r="P19" s="739">
        <f t="shared" si="18"/>
        <v>0</v>
      </c>
      <c r="Q19" s="800">
        <f t="shared" si="18"/>
        <v>0</v>
      </c>
      <c r="R19" s="752">
        <f t="shared" si="18"/>
        <v>0</v>
      </c>
      <c r="S19" s="739">
        <f t="shared" si="18"/>
        <v>0</v>
      </c>
      <c r="T19" s="800">
        <f t="shared" si="18"/>
        <v>0</v>
      </c>
      <c r="U19" s="752">
        <f t="shared" si="18"/>
        <v>0</v>
      </c>
      <c r="V19" s="739">
        <f t="shared" si="18"/>
        <v>0</v>
      </c>
      <c r="W19" s="800">
        <f t="shared" si="18"/>
        <v>0</v>
      </c>
      <c r="X19" s="752">
        <f t="shared" si="18"/>
        <v>0</v>
      </c>
      <c r="Y19" s="739">
        <f t="shared" si="18"/>
        <v>0</v>
      </c>
      <c r="Z19" s="800">
        <f t="shared" si="18"/>
        <v>0</v>
      </c>
      <c r="AA19" s="752">
        <f t="shared" si="18"/>
        <v>0</v>
      </c>
      <c r="AB19" s="739">
        <f t="shared" si="18"/>
        <v>0</v>
      </c>
      <c r="AC19" s="800">
        <f t="shared" si="18"/>
        <v>0</v>
      </c>
      <c r="AD19" s="752">
        <f t="shared" si="18"/>
        <v>0</v>
      </c>
      <c r="AE19" s="739">
        <f t="shared" si="18"/>
        <v>0</v>
      </c>
      <c r="AF19" s="800">
        <f t="shared" si="18"/>
        <v>0</v>
      </c>
      <c r="AG19" s="752">
        <f t="shared" si="18"/>
        <v>0</v>
      </c>
      <c r="AH19" s="739">
        <f t="shared" si="18"/>
        <v>0</v>
      </c>
      <c r="AI19" s="800">
        <f t="shared" si="18"/>
        <v>0</v>
      </c>
      <c r="AJ19" s="752">
        <f t="shared" si="18"/>
        <v>0</v>
      </c>
      <c r="AK19" s="739">
        <f t="shared" si="18"/>
        <v>6650813</v>
      </c>
      <c r="AL19" s="800">
        <f t="shared" si="18"/>
        <v>6680813</v>
      </c>
      <c r="AM19" s="752">
        <f t="shared" si="18"/>
        <v>6891019.219999999</v>
      </c>
      <c r="AN19" s="739">
        <f t="shared" si="18"/>
        <v>0</v>
      </c>
      <c r="AO19" s="800">
        <f t="shared" si="18"/>
        <v>0</v>
      </c>
      <c r="AP19" s="752">
        <f t="shared" si="18"/>
        <v>0</v>
      </c>
      <c r="AQ19" s="739">
        <f t="shared" si="18"/>
        <v>0</v>
      </c>
      <c r="AR19" s="800">
        <f t="shared" si="18"/>
        <v>0</v>
      </c>
      <c r="AS19" s="752">
        <f t="shared" si="18"/>
        <v>0</v>
      </c>
      <c r="AT19" s="739">
        <f t="shared" si="18"/>
        <v>0</v>
      </c>
      <c r="AU19" s="800">
        <f t="shared" si="18"/>
        <v>0</v>
      </c>
      <c r="AV19" s="752">
        <f t="shared" si="18"/>
        <v>0</v>
      </c>
      <c r="AW19" s="739">
        <f t="shared" si="18"/>
        <v>0</v>
      </c>
      <c r="AX19" s="800">
        <f t="shared" si="18"/>
        <v>0</v>
      </c>
      <c r="AY19" s="752">
        <f t="shared" si="18"/>
        <v>0</v>
      </c>
      <c r="AZ19" s="739">
        <f t="shared" si="18"/>
        <v>0</v>
      </c>
      <c r="BA19" s="800">
        <f t="shared" si="18"/>
        <v>0</v>
      </c>
      <c r="BB19" s="752">
        <f t="shared" si="18"/>
        <v>0</v>
      </c>
      <c r="BC19" s="739">
        <f t="shared" si="18"/>
        <v>0</v>
      </c>
      <c r="BD19" s="800">
        <f t="shared" si="18"/>
        <v>0</v>
      </c>
      <c r="BE19" s="752">
        <f t="shared" si="18"/>
        <v>0</v>
      </c>
      <c r="BF19" s="739">
        <f t="shared" si="18"/>
        <v>0</v>
      </c>
      <c r="BG19" s="800">
        <f t="shared" si="18"/>
        <v>0</v>
      </c>
      <c r="BH19" s="752">
        <f t="shared" si="18"/>
        <v>0</v>
      </c>
      <c r="BI19" s="739">
        <f t="shared" si="18"/>
        <v>6650813</v>
      </c>
      <c r="BJ19" s="800">
        <f t="shared" si="18"/>
        <v>6680813</v>
      </c>
      <c r="BK19" s="752">
        <f t="shared" si="18"/>
        <v>6891019.219999999</v>
      </c>
      <c r="BL19" s="739">
        <f t="shared" si="18"/>
        <v>0</v>
      </c>
      <c r="BM19" s="800">
        <f t="shared" si="18"/>
        <v>0</v>
      </c>
      <c r="BN19" s="752">
        <f t="shared" si="18"/>
        <v>0</v>
      </c>
      <c r="BO19" s="739">
        <f aca="true" t="shared" si="19" ref="BO19:CO19">SUM(BO20:BO24)</f>
        <v>0</v>
      </c>
      <c r="BP19" s="800">
        <f t="shared" si="19"/>
        <v>0</v>
      </c>
      <c r="BQ19" s="752">
        <f t="shared" si="19"/>
        <v>0</v>
      </c>
      <c r="BR19" s="739">
        <f t="shared" si="19"/>
        <v>0</v>
      </c>
      <c r="BS19" s="800">
        <f t="shared" si="19"/>
        <v>0</v>
      </c>
      <c r="BT19" s="752">
        <f t="shared" si="19"/>
        <v>0</v>
      </c>
      <c r="BU19" s="739">
        <f t="shared" si="19"/>
        <v>0</v>
      </c>
      <c r="BV19" s="800">
        <f t="shared" si="19"/>
        <v>0</v>
      </c>
      <c r="BW19" s="752">
        <f t="shared" si="19"/>
        <v>0</v>
      </c>
      <c r="BX19" s="739">
        <f t="shared" si="19"/>
        <v>0</v>
      </c>
      <c r="BY19" s="800">
        <f t="shared" si="19"/>
        <v>0</v>
      </c>
      <c r="BZ19" s="752">
        <f t="shared" si="19"/>
        <v>0</v>
      </c>
      <c r="CA19" s="739">
        <f t="shared" si="19"/>
        <v>0</v>
      </c>
      <c r="CB19" s="800">
        <f t="shared" si="19"/>
        <v>0</v>
      </c>
      <c r="CC19" s="752">
        <f t="shared" si="19"/>
        <v>0</v>
      </c>
      <c r="CD19" s="739">
        <f t="shared" si="19"/>
        <v>0</v>
      </c>
      <c r="CE19" s="800">
        <f t="shared" si="19"/>
        <v>0</v>
      </c>
      <c r="CF19" s="752">
        <f t="shared" si="19"/>
        <v>0</v>
      </c>
      <c r="CG19" s="739">
        <f t="shared" si="19"/>
        <v>0</v>
      </c>
      <c r="CH19" s="800">
        <f t="shared" si="19"/>
        <v>0</v>
      </c>
      <c r="CI19" s="752">
        <f t="shared" si="19"/>
        <v>0</v>
      </c>
      <c r="CJ19" s="739">
        <f t="shared" si="19"/>
        <v>0</v>
      </c>
      <c r="CK19" s="800">
        <f t="shared" si="19"/>
        <v>0</v>
      </c>
      <c r="CL19" s="752">
        <f t="shared" si="19"/>
        <v>0</v>
      </c>
      <c r="CM19" s="739">
        <f t="shared" si="19"/>
        <v>0</v>
      </c>
      <c r="CN19" s="800">
        <f t="shared" si="19"/>
        <v>0</v>
      </c>
      <c r="CO19" s="752">
        <f t="shared" si="19"/>
        <v>0</v>
      </c>
      <c r="CP19" s="739">
        <f t="shared" si="3"/>
        <v>6650813</v>
      </c>
      <c r="CQ19" s="800">
        <f t="shared" si="4"/>
        <v>6680813</v>
      </c>
      <c r="CR19" s="752">
        <f t="shared" si="5"/>
        <v>6891019.219999999</v>
      </c>
      <c r="CS19" s="739">
        <f aca="true" t="shared" si="20" ref="CS19:DA19">SUM(CS20:CS24)</f>
        <v>0</v>
      </c>
      <c r="CT19" s="800">
        <f t="shared" si="20"/>
        <v>0</v>
      </c>
      <c r="CU19" s="752">
        <f t="shared" si="20"/>
        <v>0</v>
      </c>
      <c r="CV19" s="739">
        <f>SUM(CV20:CV24)</f>
        <v>0</v>
      </c>
      <c r="CW19" s="800">
        <f>SUM(CW20:CW24)</f>
        <v>0</v>
      </c>
      <c r="CX19" s="752">
        <f>SUM(CX20:CX24)</f>
        <v>0</v>
      </c>
      <c r="CY19" s="739">
        <f t="shared" si="20"/>
        <v>0</v>
      </c>
      <c r="CZ19" s="800">
        <f t="shared" si="20"/>
        <v>0</v>
      </c>
      <c r="DA19" s="752">
        <f t="shared" si="20"/>
        <v>0</v>
      </c>
      <c r="DB19" s="739">
        <f aca="true" t="shared" si="21" ref="DB19:DG19">SUM(DB20:DB24)</f>
        <v>0</v>
      </c>
      <c r="DC19" s="800">
        <f t="shared" si="21"/>
        <v>0</v>
      </c>
      <c r="DD19" s="752">
        <f t="shared" si="21"/>
        <v>0</v>
      </c>
      <c r="DE19" s="739">
        <f t="shared" si="21"/>
        <v>0</v>
      </c>
      <c r="DF19" s="800">
        <f t="shared" si="21"/>
        <v>0</v>
      </c>
      <c r="DG19" s="752">
        <f t="shared" si="21"/>
        <v>0</v>
      </c>
      <c r="DH19" s="739">
        <f aca="true" t="shared" si="22" ref="DH19:DP19">SUM(DH20:DH24)</f>
        <v>0</v>
      </c>
      <c r="DI19" s="800">
        <f t="shared" si="22"/>
        <v>0</v>
      </c>
      <c r="DJ19" s="752">
        <f t="shared" si="22"/>
        <v>0</v>
      </c>
      <c r="DK19" s="739">
        <f t="shared" si="22"/>
        <v>0</v>
      </c>
      <c r="DL19" s="800">
        <f t="shared" si="22"/>
        <v>0</v>
      </c>
      <c r="DM19" s="752">
        <f t="shared" si="22"/>
        <v>0</v>
      </c>
      <c r="DN19" s="739">
        <f t="shared" si="22"/>
        <v>6650813</v>
      </c>
      <c r="DO19" s="800">
        <f t="shared" si="22"/>
        <v>6680813</v>
      </c>
      <c r="DP19" s="752">
        <f t="shared" si="22"/>
        <v>6891019.219999999</v>
      </c>
      <c r="DQ19" s="821">
        <f t="shared" si="7"/>
        <v>103.14641676095408</v>
      </c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</row>
    <row r="20" spans="1:218" ht="12.75" customHeight="1">
      <c r="A20" s="713"/>
      <c r="B20" s="715" t="s">
        <v>7</v>
      </c>
      <c r="C20" s="1962">
        <v>922171</v>
      </c>
      <c r="D20" s="740"/>
      <c r="E20" s="801"/>
      <c r="F20" s="753"/>
      <c r="G20" s="740"/>
      <c r="H20" s="801"/>
      <c r="I20" s="753"/>
      <c r="J20" s="740"/>
      <c r="K20" s="801"/>
      <c r="L20" s="753"/>
      <c r="M20" s="740"/>
      <c r="N20" s="801"/>
      <c r="O20" s="753"/>
      <c r="P20" s="740"/>
      <c r="Q20" s="801"/>
      <c r="R20" s="753"/>
      <c r="S20" s="740"/>
      <c r="T20" s="801"/>
      <c r="U20" s="753"/>
      <c r="V20" s="740"/>
      <c r="W20" s="801"/>
      <c r="X20" s="753"/>
      <c r="Y20" s="740"/>
      <c r="Z20" s="801"/>
      <c r="AA20" s="753"/>
      <c r="AB20" s="740"/>
      <c r="AC20" s="801"/>
      <c r="AD20" s="753"/>
      <c r="AE20" s="740"/>
      <c r="AF20" s="801"/>
      <c r="AG20" s="753"/>
      <c r="AH20" s="740"/>
      <c r="AI20" s="801"/>
      <c r="AJ20" s="753"/>
      <c r="AK20" s="740">
        <v>4720813</v>
      </c>
      <c r="AL20" s="801">
        <v>4720813</v>
      </c>
      <c r="AM20" s="753">
        <v>4875155.782</v>
      </c>
      <c r="AN20" s="740"/>
      <c r="AO20" s="801"/>
      <c r="AP20" s="753"/>
      <c r="AQ20" s="740"/>
      <c r="AR20" s="801"/>
      <c r="AS20" s="753"/>
      <c r="AT20" s="740"/>
      <c r="AU20" s="801"/>
      <c r="AV20" s="753"/>
      <c r="AW20" s="740"/>
      <c r="AX20" s="801"/>
      <c r="AY20" s="753"/>
      <c r="AZ20" s="740"/>
      <c r="BA20" s="801"/>
      <c r="BB20" s="753"/>
      <c r="BC20" s="740"/>
      <c r="BD20" s="801"/>
      <c r="BE20" s="753"/>
      <c r="BF20" s="740"/>
      <c r="BG20" s="801"/>
      <c r="BH20" s="753"/>
      <c r="BI20" s="740">
        <f aca="true" t="shared" si="23" ref="BI20:BK24">D20+G20+J20+M20+P20+S20+V20+Y20+AB20+AE20+AH20+AK20+AN20+AQ20+AT20+AW20+AZ20+BC20+BF20</f>
        <v>4720813</v>
      </c>
      <c r="BJ20" s="801">
        <f t="shared" si="23"/>
        <v>4720813</v>
      </c>
      <c r="BK20" s="753">
        <f t="shared" si="23"/>
        <v>4875155.782</v>
      </c>
      <c r="BL20" s="740"/>
      <c r="BM20" s="801"/>
      <c r="BN20" s="753"/>
      <c r="BO20" s="740"/>
      <c r="BP20" s="801"/>
      <c r="BQ20" s="753"/>
      <c r="BR20" s="740"/>
      <c r="BS20" s="801"/>
      <c r="BT20" s="753"/>
      <c r="BU20" s="740"/>
      <c r="BV20" s="801"/>
      <c r="BW20" s="753"/>
      <c r="BX20" s="740"/>
      <c r="BY20" s="801"/>
      <c r="BZ20" s="753"/>
      <c r="CA20" s="740"/>
      <c r="CB20" s="801"/>
      <c r="CC20" s="753"/>
      <c r="CD20" s="740"/>
      <c r="CE20" s="801"/>
      <c r="CF20" s="753"/>
      <c r="CG20" s="740"/>
      <c r="CH20" s="801"/>
      <c r="CI20" s="753"/>
      <c r="CJ20" s="740"/>
      <c r="CK20" s="801"/>
      <c r="CL20" s="753"/>
      <c r="CM20" s="740">
        <f aca="true" t="shared" si="24" ref="CM20:CO24">BL20+BO20+BR20+BU20+BX20+CA20+CD20+CG20+CJ20</f>
        <v>0</v>
      </c>
      <c r="CN20" s="801">
        <f t="shared" si="24"/>
        <v>0</v>
      </c>
      <c r="CO20" s="753">
        <f t="shared" si="24"/>
        <v>0</v>
      </c>
      <c r="CP20" s="740">
        <f t="shared" si="3"/>
        <v>4720813</v>
      </c>
      <c r="CQ20" s="801">
        <f t="shared" si="4"/>
        <v>4720813</v>
      </c>
      <c r="CR20" s="753">
        <f t="shared" si="5"/>
        <v>4875155.782</v>
      </c>
      <c r="CS20" s="740"/>
      <c r="CT20" s="801"/>
      <c r="CU20" s="753"/>
      <c r="CV20" s="740"/>
      <c r="CW20" s="801"/>
      <c r="CX20" s="753"/>
      <c r="CY20" s="740"/>
      <c r="CZ20" s="801"/>
      <c r="DA20" s="753"/>
      <c r="DB20" s="740"/>
      <c r="DC20" s="801"/>
      <c r="DD20" s="753"/>
      <c r="DE20" s="740">
        <f aca="true" t="shared" si="25" ref="DE20:DG24">CS20+CV20+CY20+DB20</f>
        <v>0</v>
      </c>
      <c r="DF20" s="801">
        <f t="shared" si="25"/>
        <v>0</v>
      </c>
      <c r="DG20" s="753">
        <f t="shared" si="25"/>
        <v>0</v>
      </c>
      <c r="DH20" s="740"/>
      <c r="DI20" s="801"/>
      <c r="DJ20" s="753"/>
      <c r="DK20" s="740"/>
      <c r="DL20" s="801"/>
      <c r="DM20" s="753"/>
      <c r="DN20" s="740">
        <f aca="true" t="shared" si="26" ref="DN20:DP24">CP20+DE20+DH20+DK20</f>
        <v>4720813</v>
      </c>
      <c r="DO20" s="801">
        <f t="shared" si="26"/>
        <v>4720813</v>
      </c>
      <c r="DP20" s="753">
        <f t="shared" si="26"/>
        <v>4875155.782</v>
      </c>
      <c r="DQ20" s="823">
        <f t="shared" si="7"/>
        <v>103.26941105271486</v>
      </c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</row>
    <row r="21" spans="1:218" ht="12.75" customHeight="1">
      <c r="A21" s="713"/>
      <c r="B21" s="715" t="s">
        <v>1119</v>
      </c>
      <c r="C21" s="1962">
        <v>92211</v>
      </c>
      <c r="D21" s="740"/>
      <c r="E21" s="801"/>
      <c r="F21" s="753"/>
      <c r="G21" s="740"/>
      <c r="H21" s="801"/>
      <c r="I21" s="753"/>
      <c r="J21" s="740"/>
      <c r="K21" s="801"/>
      <c r="L21" s="753"/>
      <c r="M21" s="740"/>
      <c r="N21" s="801"/>
      <c r="O21" s="753"/>
      <c r="P21" s="740"/>
      <c r="Q21" s="801"/>
      <c r="R21" s="753"/>
      <c r="S21" s="740"/>
      <c r="T21" s="801"/>
      <c r="U21" s="753"/>
      <c r="V21" s="740"/>
      <c r="W21" s="801"/>
      <c r="X21" s="753"/>
      <c r="Y21" s="740"/>
      <c r="Z21" s="801"/>
      <c r="AA21" s="753"/>
      <c r="AB21" s="740"/>
      <c r="AC21" s="801"/>
      <c r="AD21" s="753"/>
      <c r="AE21" s="740"/>
      <c r="AF21" s="801"/>
      <c r="AG21" s="753"/>
      <c r="AH21" s="740"/>
      <c r="AI21" s="801"/>
      <c r="AJ21" s="753"/>
      <c r="AK21" s="740">
        <v>1330000</v>
      </c>
      <c r="AL21" s="801">
        <v>1350000</v>
      </c>
      <c r="AM21" s="753">
        <v>1382184.572</v>
      </c>
      <c r="AN21" s="740"/>
      <c r="AO21" s="801"/>
      <c r="AP21" s="753"/>
      <c r="AQ21" s="740"/>
      <c r="AR21" s="801"/>
      <c r="AS21" s="753"/>
      <c r="AT21" s="740"/>
      <c r="AU21" s="801"/>
      <c r="AV21" s="753"/>
      <c r="AW21" s="740"/>
      <c r="AX21" s="801"/>
      <c r="AY21" s="753"/>
      <c r="AZ21" s="740"/>
      <c r="BA21" s="801"/>
      <c r="BB21" s="753"/>
      <c r="BC21" s="740"/>
      <c r="BD21" s="801"/>
      <c r="BE21" s="753"/>
      <c r="BF21" s="740"/>
      <c r="BG21" s="801"/>
      <c r="BH21" s="753"/>
      <c r="BI21" s="740">
        <f t="shared" si="23"/>
        <v>1330000</v>
      </c>
      <c r="BJ21" s="801">
        <f t="shared" si="23"/>
        <v>1350000</v>
      </c>
      <c r="BK21" s="753">
        <f t="shared" si="23"/>
        <v>1382184.572</v>
      </c>
      <c r="BL21" s="740"/>
      <c r="BM21" s="801"/>
      <c r="BN21" s="753"/>
      <c r="BO21" s="740"/>
      <c r="BP21" s="801"/>
      <c r="BQ21" s="753"/>
      <c r="BR21" s="740"/>
      <c r="BS21" s="801"/>
      <c r="BT21" s="753"/>
      <c r="BU21" s="740"/>
      <c r="BV21" s="801"/>
      <c r="BW21" s="753"/>
      <c r="BX21" s="740"/>
      <c r="BY21" s="801"/>
      <c r="BZ21" s="753"/>
      <c r="CA21" s="740"/>
      <c r="CB21" s="801"/>
      <c r="CC21" s="753"/>
      <c r="CD21" s="740"/>
      <c r="CE21" s="801"/>
      <c r="CF21" s="753"/>
      <c r="CG21" s="740"/>
      <c r="CH21" s="801"/>
      <c r="CI21" s="753"/>
      <c r="CJ21" s="740"/>
      <c r="CK21" s="801"/>
      <c r="CL21" s="753"/>
      <c r="CM21" s="740">
        <f t="shared" si="24"/>
        <v>0</v>
      </c>
      <c r="CN21" s="801">
        <f t="shared" si="24"/>
        <v>0</v>
      </c>
      <c r="CO21" s="753">
        <f t="shared" si="24"/>
        <v>0</v>
      </c>
      <c r="CP21" s="740">
        <f t="shared" si="3"/>
        <v>1330000</v>
      </c>
      <c r="CQ21" s="801">
        <f t="shared" si="4"/>
        <v>1350000</v>
      </c>
      <c r="CR21" s="753">
        <f t="shared" si="5"/>
        <v>1382184.572</v>
      </c>
      <c r="CS21" s="740"/>
      <c r="CT21" s="801"/>
      <c r="CU21" s="753"/>
      <c r="CV21" s="740"/>
      <c r="CW21" s="801"/>
      <c r="CX21" s="753"/>
      <c r="CY21" s="740"/>
      <c r="CZ21" s="801"/>
      <c r="DA21" s="753"/>
      <c r="DB21" s="740"/>
      <c r="DC21" s="801"/>
      <c r="DD21" s="753"/>
      <c r="DE21" s="740">
        <f t="shared" si="25"/>
        <v>0</v>
      </c>
      <c r="DF21" s="801">
        <f t="shared" si="25"/>
        <v>0</v>
      </c>
      <c r="DG21" s="753">
        <f t="shared" si="25"/>
        <v>0</v>
      </c>
      <c r="DH21" s="740"/>
      <c r="DI21" s="801"/>
      <c r="DJ21" s="753"/>
      <c r="DK21" s="740"/>
      <c r="DL21" s="801"/>
      <c r="DM21" s="753"/>
      <c r="DN21" s="740">
        <f t="shared" si="26"/>
        <v>1330000</v>
      </c>
      <c r="DO21" s="801">
        <f t="shared" si="26"/>
        <v>1350000</v>
      </c>
      <c r="DP21" s="753">
        <f t="shared" si="26"/>
        <v>1382184.572</v>
      </c>
      <c r="DQ21" s="823">
        <f t="shared" si="7"/>
        <v>102.38404237037035</v>
      </c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</row>
    <row r="22" spans="1:218" ht="12.75" customHeight="1">
      <c r="A22" s="713"/>
      <c r="B22" s="715" t="s">
        <v>523</v>
      </c>
      <c r="C22" s="1962">
        <v>922142</v>
      </c>
      <c r="D22" s="740"/>
      <c r="E22" s="801"/>
      <c r="F22" s="753"/>
      <c r="G22" s="740"/>
      <c r="H22" s="801"/>
      <c r="I22" s="753"/>
      <c r="J22" s="740"/>
      <c r="K22" s="801"/>
      <c r="L22" s="753"/>
      <c r="M22" s="740"/>
      <c r="N22" s="801"/>
      <c r="O22" s="753"/>
      <c r="P22" s="740"/>
      <c r="Q22" s="801"/>
      <c r="R22" s="753"/>
      <c r="S22" s="740"/>
      <c r="T22" s="801"/>
      <c r="U22" s="753"/>
      <c r="V22" s="740"/>
      <c r="W22" s="801"/>
      <c r="X22" s="753"/>
      <c r="Y22" s="740"/>
      <c r="Z22" s="801"/>
      <c r="AA22" s="753"/>
      <c r="AB22" s="740"/>
      <c r="AC22" s="801"/>
      <c r="AD22" s="753"/>
      <c r="AE22" s="740"/>
      <c r="AF22" s="801"/>
      <c r="AG22" s="753"/>
      <c r="AH22" s="740"/>
      <c r="AI22" s="801"/>
      <c r="AJ22" s="753"/>
      <c r="AK22" s="740">
        <v>390000</v>
      </c>
      <c r="AL22" s="801">
        <v>400000</v>
      </c>
      <c r="AM22" s="753">
        <v>420000</v>
      </c>
      <c r="AN22" s="740"/>
      <c r="AO22" s="801"/>
      <c r="AP22" s="753"/>
      <c r="AQ22" s="740"/>
      <c r="AR22" s="801"/>
      <c r="AS22" s="753"/>
      <c r="AT22" s="740"/>
      <c r="AU22" s="801"/>
      <c r="AV22" s="753"/>
      <c r="AW22" s="740"/>
      <c r="AX22" s="801"/>
      <c r="AY22" s="753"/>
      <c r="AZ22" s="740"/>
      <c r="BA22" s="801"/>
      <c r="BB22" s="753"/>
      <c r="BC22" s="740"/>
      <c r="BD22" s="801"/>
      <c r="BE22" s="753"/>
      <c r="BF22" s="740"/>
      <c r="BG22" s="801"/>
      <c r="BH22" s="753"/>
      <c r="BI22" s="740">
        <f t="shared" si="23"/>
        <v>390000</v>
      </c>
      <c r="BJ22" s="801">
        <f t="shared" si="23"/>
        <v>400000</v>
      </c>
      <c r="BK22" s="753">
        <f t="shared" si="23"/>
        <v>420000</v>
      </c>
      <c r="BL22" s="740"/>
      <c r="BM22" s="801"/>
      <c r="BN22" s="753"/>
      <c r="BO22" s="740"/>
      <c r="BP22" s="801"/>
      <c r="BQ22" s="753"/>
      <c r="BR22" s="740"/>
      <c r="BS22" s="801"/>
      <c r="BT22" s="753"/>
      <c r="BU22" s="740"/>
      <c r="BV22" s="801"/>
      <c r="BW22" s="753"/>
      <c r="BX22" s="740"/>
      <c r="BY22" s="801"/>
      <c r="BZ22" s="753"/>
      <c r="CA22" s="740"/>
      <c r="CB22" s="801"/>
      <c r="CC22" s="753"/>
      <c r="CD22" s="740"/>
      <c r="CE22" s="801"/>
      <c r="CF22" s="753"/>
      <c r="CG22" s="740"/>
      <c r="CH22" s="801"/>
      <c r="CI22" s="753"/>
      <c r="CJ22" s="740"/>
      <c r="CK22" s="801"/>
      <c r="CL22" s="753"/>
      <c r="CM22" s="740">
        <f t="shared" si="24"/>
        <v>0</v>
      </c>
      <c r="CN22" s="801">
        <f t="shared" si="24"/>
        <v>0</v>
      </c>
      <c r="CO22" s="753">
        <f t="shared" si="24"/>
        <v>0</v>
      </c>
      <c r="CP22" s="740">
        <f t="shared" si="3"/>
        <v>390000</v>
      </c>
      <c r="CQ22" s="801">
        <f t="shared" si="4"/>
        <v>400000</v>
      </c>
      <c r="CR22" s="753">
        <f t="shared" si="5"/>
        <v>420000</v>
      </c>
      <c r="CS22" s="740"/>
      <c r="CT22" s="801"/>
      <c r="CU22" s="753"/>
      <c r="CV22" s="740"/>
      <c r="CW22" s="801"/>
      <c r="CX22" s="753"/>
      <c r="CY22" s="740"/>
      <c r="CZ22" s="801"/>
      <c r="DA22" s="753"/>
      <c r="DB22" s="740"/>
      <c r="DC22" s="801"/>
      <c r="DD22" s="753"/>
      <c r="DE22" s="740">
        <f t="shared" si="25"/>
        <v>0</v>
      </c>
      <c r="DF22" s="801">
        <f t="shared" si="25"/>
        <v>0</v>
      </c>
      <c r="DG22" s="753">
        <f t="shared" si="25"/>
        <v>0</v>
      </c>
      <c r="DH22" s="740"/>
      <c r="DI22" s="801"/>
      <c r="DJ22" s="753"/>
      <c r="DK22" s="740"/>
      <c r="DL22" s="801"/>
      <c r="DM22" s="753"/>
      <c r="DN22" s="740">
        <f t="shared" si="26"/>
        <v>390000</v>
      </c>
      <c r="DO22" s="801">
        <f t="shared" si="26"/>
        <v>400000</v>
      </c>
      <c r="DP22" s="753">
        <f t="shared" si="26"/>
        <v>420000</v>
      </c>
      <c r="DQ22" s="823">
        <f t="shared" si="7"/>
        <v>105</v>
      </c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</row>
    <row r="23" spans="1:218" ht="12.75" customHeight="1">
      <c r="A23" s="713"/>
      <c r="B23" s="715" t="s">
        <v>989</v>
      </c>
      <c r="C23" s="1962"/>
      <c r="D23" s="740"/>
      <c r="E23" s="801"/>
      <c r="F23" s="753"/>
      <c r="G23" s="740"/>
      <c r="H23" s="801"/>
      <c r="I23" s="753"/>
      <c r="J23" s="740"/>
      <c r="K23" s="801"/>
      <c r="L23" s="753"/>
      <c r="M23" s="740"/>
      <c r="N23" s="801"/>
      <c r="O23" s="753"/>
      <c r="P23" s="740"/>
      <c r="Q23" s="801"/>
      <c r="R23" s="753"/>
      <c r="S23" s="740"/>
      <c r="T23" s="801"/>
      <c r="U23" s="753"/>
      <c r="V23" s="740"/>
      <c r="W23" s="801"/>
      <c r="X23" s="753"/>
      <c r="Y23" s="740"/>
      <c r="Z23" s="801"/>
      <c r="AA23" s="753"/>
      <c r="AB23" s="740"/>
      <c r="AC23" s="801"/>
      <c r="AD23" s="753"/>
      <c r="AE23" s="740"/>
      <c r="AF23" s="801"/>
      <c r="AG23" s="753"/>
      <c r="AH23" s="740"/>
      <c r="AI23" s="801"/>
      <c r="AJ23" s="753"/>
      <c r="AK23" s="740">
        <v>90000</v>
      </c>
      <c r="AL23" s="801">
        <v>90000</v>
      </c>
      <c r="AM23" s="753">
        <v>92055.47</v>
      </c>
      <c r="AN23" s="740"/>
      <c r="AO23" s="801"/>
      <c r="AP23" s="753"/>
      <c r="AQ23" s="740"/>
      <c r="AR23" s="801"/>
      <c r="AS23" s="753"/>
      <c r="AT23" s="740"/>
      <c r="AU23" s="801"/>
      <c r="AV23" s="753"/>
      <c r="AW23" s="740"/>
      <c r="AX23" s="801"/>
      <c r="AY23" s="753"/>
      <c r="AZ23" s="740"/>
      <c r="BA23" s="801"/>
      <c r="BB23" s="753"/>
      <c r="BC23" s="740"/>
      <c r="BD23" s="801"/>
      <c r="BE23" s="753"/>
      <c r="BF23" s="740"/>
      <c r="BG23" s="801"/>
      <c r="BH23" s="753"/>
      <c r="BI23" s="740">
        <f t="shared" si="23"/>
        <v>90000</v>
      </c>
      <c r="BJ23" s="801">
        <f t="shared" si="23"/>
        <v>90000</v>
      </c>
      <c r="BK23" s="753">
        <f t="shared" si="23"/>
        <v>92055.47</v>
      </c>
      <c r="BL23" s="740"/>
      <c r="BM23" s="801"/>
      <c r="BN23" s="753"/>
      <c r="BO23" s="740"/>
      <c r="BP23" s="801"/>
      <c r="BQ23" s="753"/>
      <c r="BR23" s="740"/>
      <c r="BS23" s="801"/>
      <c r="BT23" s="753"/>
      <c r="BU23" s="740"/>
      <c r="BV23" s="801"/>
      <c r="BW23" s="753"/>
      <c r="BX23" s="740"/>
      <c r="BY23" s="801"/>
      <c r="BZ23" s="753"/>
      <c r="CA23" s="740"/>
      <c r="CB23" s="801"/>
      <c r="CC23" s="753"/>
      <c r="CD23" s="740"/>
      <c r="CE23" s="801"/>
      <c r="CF23" s="753"/>
      <c r="CG23" s="740"/>
      <c r="CH23" s="801"/>
      <c r="CI23" s="753"/>
      <c r="CJ23" s="740"/>
      <c r="CK23" s="801"/>
      <c r="CL23" s="753"/>
      <c r="CM23" s="740">
        <f t="shared" si="24"/>
        <v>0</v>
      </c>
      <c r="CN23" s="801">
        <f t="shared" si="24"/>
        <v>0</v>
      </c>
      <c r="CO23" s="753">
        <f t="shared" si="24"/>
        <v>0</v>
      </c>
      <c r="CP23" s="740">
        <f t="shared" si="3"/>
        <v>90000</v>
      </c>
      <c r="CQ23" s="801">
        <f t="shared" si="4"/>
        <v>90000</v>
      </c>
      <c r="CR23" s="753">
        <f t="shared" si="5"/>
        <v>92055.47</v>
      </c>
      <c r="CS23" s="740"/>
      <c r="CT23" s="801"/>
      <c r="CU23" s="753"/>
      <c r="CV23" s="740"/>
      <c r="CW23" s="801"/>
      <c r="CX23" s="753"/>
      <c r="CY23" s="740"/>
      <c r="CZ23" s="801"/>
      <c r="DA23" s="753"/>
      <c r="DB23" s="740"/>
      <c r="DC23" s="801"/>
      <c r="DD23" s="753"/>
      <c r="DE23" s="740">
        <f t="shared" si="25"/>
        <v>0</v>
      </c>
      <c r="DF23" s="801">
        <f t="shared" si="25"/>
        <v>0</v>
      </c>
      <c r="DG23" s="753">
        <f t="shared" si="25"/>
        <v>0</v>
      </c>
      <c r="DH23" s="740"/>
      <c r="DI23" s="801"/>
      <c r="DJ23" s="753"/>
      <c r="DK23" s="740"/>
      <c r="DL23" s="801"/>
      <c r="DM23" s="753"/>
      <c r="DN23" s="740">
        <f t="shared" si="26"/>
        <v>90000</v>
      </c>
      <c r="DO23" s="801">
        <f t="shared" si="26"/>
        <v>90000</v>
      </c>
      <c r="DP23" s="753">
        <f t="shared" si="26"/>
        <v>92055.47</v>
      </c>
      <c r="DQ23" s="823">
        <f t="shared" si="7"/>
        <v>102.28385555555555</v>
      </c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</row>
    <row r="24" spans="1:218" ht="12.75" customHeight="1">
      <c r="A24" s="713"/>
      <c r="B24" s="715" t="s">
        <v>49</v>
      </c>
      <c r="C24" s="1962">
        <v>9221101</v>
      </c>
      <c r="D24" s="740"/>
      <c r="E24" s="801"/>
      <c r="F24" s="753"/>
      <c r="G24" s="740"/>
      <c r="H24" s="801"/>
      <c r="I24" s="753"/>
      <c r="J24" s="740"/>
      <c r="K24" s="801"/>
      <c r="L24" s="753"/>
      <c r="M24" s="740"/>
      <c r="N24" s="801"/>
      <c r="O24" s="753"/>
      <c r="P24" s="740"/>
      <c r="Q24" s="801"/>
      <c r="R24" s="753"/>
      <c r="S24" s="740"/>
      <c r="T24" s="801"/>
      <c r="U24" s="753"/>
      <c r="V24" s="740"/>
      <c r="W24" s="801"/>
      <c r="X24" s="753"/>
      <c r="Y24" s="740"/>
      <c r="Z24" s="801"/>
      <c r="AA24" s="753"/>
      <c r="AB24" s="740"/>
      <c r="AC24" s="801"/>
      <c r="AD24" s="753"/>
      <c r="AE24" s="740"/>
      <c r="AF24" s="801"/>
      <c r="AG24" s="753"/>
      <c r="AH24" s="740"/>
      <c r="AI24" s="801"/>
      <c r="AJ24" s="753"/>
      <c r="AK24" s="740">
        <v>120000</v>
      </c>
      <c r="AL24" s="801">
        <v>120000</v>
      </c>
      <c r="AM24" s="753">
        <v>121623.396</v>
      </c>
      <c r="AN24" s="740"/>
      <c r="AO24" s="801"/>
      <c r="AP24" s="753"/>
      <c r="AQ24" s="740"/>
      <c r="AR24" s="801"/>
      <c r="AS24" s="753"/>
      <c r="AT24" s="740"/>
      <c r="AU24" s="801"/>
      <c r="AV24" s="753"/>
      <c r="AW24" s="740"/>
      <c r="AX24" s="801"/>
      <c r="AY24" s="753"/>
      <c r="AZ24" s="740"/>
      <c r="BA24" s="801"/>
      <c r="BB24" s="753"/>
      <c r="BC24" s="740"/>
      <c r="BD24" s="801"/>
      <c r="BE24" s="753"/>
      <c r="BF24" s="740"/>
      <c r="BG24" s="801"/>
      <c r="BH24" s="753"/>
      <c r="BI24" s="740">
        <f t="shared" si="23"/>
        <v>120000</v>
      </c>
      <c r="BJ24" s="801">
        <f t="shared" si="23"/>
        <v>120000</v>
      </c>
      <c r="BK24" s="753">
        <f t="shared" si="23"/>
        <v>121623.396</v>
      </c>
      <c r="BL24" s="740"/>
      <c r="BM24" s="801"/>
      <c r="BN24" s="753"/>
      <c r="BO24" s="740"/>
      <c r="BP24" s="801"/>
      <c r="BQ24" s="753"/>
      <c r="BR24" s="740"/>
      <c r="BS24" s="801"/>
      <c r="BT24" s="753"/>
      <c r="BU24" s="740"/>
      <c r="BV24" s="801"/>
      <c r="BW24" s="753"/>
      <c r="BX24" s="740"/>
      <c r="BY24" s="801"/>
      <c r="BZ24" s="753"/>
      <c r="CA24" s="740"/>
      <c r="CB24" s="801"/>
      <c r="CC24" s="753"/>
      <c r="CD24" s="740"/>
      <c r="CE24" s="801"/>
      <c r="CF24" s="753"/>
      <c r="CG24" s="740"/>
      <c r="CH24" s="801"/>
      <c r="CI24" s="753"/>
      <c r="CJ24" s="740"/>
      <c r="CK24" s="801"/>
      <c r="CL24" s="753"/>
      <c r="CM24" s="740">
        <f t="shared" si="24"/>
        <v>0</v>
      </c>
      <c r="CN24" s="801">
        <f t="shared" si="24"/>
        <v>0</v>
      </c>
      <c r="CO24" s="753">
        <f t="shared" si="24"/>
        <v>0</v>
      </c>
      <c r="CP24" s="740">
        <f t="shared" si="3"/>
        <v>120000</v>
      </c>
      <c r="CQ24" s="801">
        <f t="shared" si="4"/>
        <v>120000</v>
      </c>
      <c r="CR24" s="753">
        <f t="shared" si="5"/>
        <v>121623.396</v>
      </c>
      <c r="CS24" s="740"/>
      <c r="CT24" s="801"/>
      <c r="CU24" s="753"/>
      <c r="CV24" s="740"/>
      <c r="CW24" s="801"/>
      <c r="CX24" s="753"/>
      <c r="CY24" s="740"/>
      <c r="CZ24" s="801"/>
      <c r="DA24" s="753"/>
      <c r="DB24" s="740"/>
      <c r="DC24" s="801"/>
      <c r="DD24" s="753"/>
      <c r="DE24" s="740">
        <f t="shared" si="25"/>
        <v>0</v>
      </c>
      <c r="DF24" s="801">
        <f t="shared" si="25"/>
        <v>0</v>
      </c>
      <c r="DG24" s="753">
        <f t="shared" si="25"/>
        <v>0</v>
      </c>
      <c r="DH24" s="740"/>
      <c r="DI24" s="801"/>
      <c r="DJ24" s="753"/>
      <c r="DK24" s="740"/>
      <c r="DL24" s="801"/>
      <c r="DM24" s="753"/>
      <c r="DN24" s="740">
        <f t="shared" si="26"/>
        <v>120000</v>
      </c>
      <c r="DO24" s="801">
        <f t="shared" si="26"/>
        <v>120000</v>
      </c>
      <c r="DP24" s="753">
        <f t="shared" si="26"/>
        <v>121623.396</v>
      </c>
      <c r="DQ24" s="823">
        <f>DP24/DO24*100</f>
        <v>101.35283</v>
      </c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</row>
    <row r="25" spans="1:232" s="148" customFormat="1" ht="12.75" customHeight="1">
      <c r="A25" s="720" t="s">
        <v>54</v>
      </c>
      <c r="B25" s="721" t="s">
        <v>60</v>
      </c>
      <c r="C25" s="1964">
        <v>923</v>
      </c>
      <c r="D25" s="739">
        <f aca="true" t="shared" si="27" ref="D25:BL25">ROUND(D26+D27,0)</f>
        <v>0</v>
      </c>
      <c r="E25" s="800">
        <f t="shared" si="27"/>
        <v>0</v>
      </c>
      <c r="F25" s="752">
        <f t="shared" si="27"/>
        <v>0</v>
      </c>
      <c r="G25" s="739">
        <f t="shared" si="27"/>
        <v>0</v>
      </c>
      <c r="H25" s="800">
        <f t="shared" si="27"/>
        <v>0</v>
      </c>
      <c r="I25" s="752">
        <f t="shared" si="27"/>
        <v>0</v>
      </c>
      <c r="J25" s="739">
        <f t="shared" si="27"/>
        <v>0</v>
      </c>
      <c r="K25" s="800">
        <f t="shared" si="27"/>
        <v>0</v>
      </c>
      <c r="L25" s="752">
        <f t="shared" si="27"/>
        <v>0</v>
      </c>
      <c r="M25" s="739">
        <f t="shared" si="27"/>
        <v>0</v>
      </c>
      <c r="N25" s="800">
        <f t="shared" si="27"/>
        <v>0</v>
      </c>
      <c r="O25" s="752">
        <f t="shared" si="27"/>
        <v>0</v>
      </c>
      <c r="P25" s="739">
        <f t="shared" si="27"/>
        <v>0</v>
      </c>
      <c r="Q25" s="800">
        <f t="shared" si="27"/>
        <v>0</v>
      </c>
      <c r="R25" s="752">
        <f t="shared" si="27"/>
        <v>0</v>
      </c>
      <c r="S25" s="739">
        <f t="shared" si="27"/>
        <v>0</v>
      </c>
      <c r="T25" s="800">
        <f t="shared" si="27"/>
        <v>0</v>
      </c>
      <c r="U25" s="752">
        <f t="shared" si="27"/>
        <v>0</v>
      </c>
      <c r="V25" s="739">
        <f t="shared" si="27"/>
        <v>0</v>
      </c>
      <c r="W25" s="800">
        <f t="shared" si="27"/>
        <v>0</v>
      </c>
      <c r="X25" s="752">
        <f t="shared" si="27"/>
        <v>0</v>
      </c>
      <c r="Y25" s="739">
        <f t="shared" si="27"/>
        <v>0</v>
      </c>
      <c r="Z25" s="800">
        <f t="shared" si="27"/>
        <v>0</v>
      </c>
      <c r="AA25" s="752">
        <f t="shared" si="27"/>
        <v>0</v>
      </c>
      <c r="AB25" s="739">
        <f t="shared" si="27"/>
        <v>0</v>
      </c>
      <c r="AC25" s="800">
        <f t="shared" si="27"/>
        <v>0</v>
      </c>
      <c r="AD25" s="752">
        <f t="shared" si="27"/>
        <v>0</v>
      </c>
      <c r="AE25" s="739">
        <f t="shared" si="27"/>
        <v>0</v>
      </c>
      <c r="AF25" s="800">
        <f t="shared" si="27"/>
        <v>0</v>
      </c>
      <c r="AG25" s="752">
        <f t="shared" si="27"/>
        <v>0</v>
      </c>
      <c r="AH25" s="739">
        <f t="shared" si="27"/>
        <v>0</v>
      </c>
      <c r="AI25" s="800">
        <f t="shared" si="27"/>
        <v>0</v>
      </c>
      <c r="AJ25" s="752">
        <f t="shared" si="27"/>
        <v>0</v>
      </c>
      <c r="AK25" s="739">
        <f t="shared" si="27"/>
        <v>0</v>
      </c>
      <c r="AL25" s="800">
        <f t="shared" si="27"/>
        <v>0</v>
      </c>
      <c r="AM25" s="752">
        <f t="shared" si="27"/>
        <v>0</v>
      </c>
      <c r="AN25" s="739">
        <f t="shared" si="27"/>
        <v>0</v>
      </c>
      <c r="AO25" s="800">
        <f t="shared" si="27"/>
        <v>0</v>
      </c>
      <c r="AP25" s="752">
        <f t="shared" si="27"/>
        <v>0</v>
      </c>
      <c r="AQ25" s="739">
        <f t="shared" si="27"/>
        <v>0</v>
      </c>
      <c r="AR25" s="800">
        <f t="shared" si="27"/>
        <v>0</v>
      </c>
      <c r="AS25" s="752">
        <f t="shared" si="27"/>
        <v>0</v>
      </c>
      <c r="AT25" s="739">
        <f t="shared" si="27"/>
        <v>0</v>
      </c>
      <c r="AU25" s="800">
        <f t="shared" si="27"/>
        <v>0</v>
      </c>
      <c r="AV25" s="752">
        <f t="shared" si="27"/>
        <v>0</v>
      </c>
      <c r="AW25" s="739">
        <f t="shared" si="27"/>
        <v>0</v>
      </c>
      <c r="AX25" s="800">
        <f t="shared" si="27"/>
        <v>0</v>
      </c>
      <c r="AY25" s="752">
        <f t="shared" si="27"/>
        <v>0</v>
      </c>
      <c r="AZ25" s="739">
        <f t="shared" si="27"/>
        <v>0</v>
      </c>
      <c r="BA25" s="800">
        <f t="shared" si="27"/>
        <v>0</v>
      </c>
      <c r="BB25" s="752">
        <f t="shared" si="27"/>
        <v>0</v>
      </c>
      <c r="BC25" s="739">
        <f t="shared" si="27"/>
        <v>296000</v>
      </c>
      <c r="BD25" s="800">
        <f t="shared" si="27"/>
        <v>300000</v>
      </c>
      <c r="BE25" s="752">
        <f>BE27</f>
        <v>301803.144</v>
      </c>
      <c r="BF25" s="739">
        <f t="shared" si="27"/>
        <v>0</v>
      </c>
      <c r="BG25" s="800">
        <f t="shared" si="27"/>
        <v>0</v>
      </c>
      <c r="BH25" s="752">
        <f t="shared" si="27"/>
        <v>0</v>
      </c>
      <c r="BI25" s="739">
        <f t="shared" si="27"/>
        <v>296000</v>
      </c>
      <c r="BJ25" s="800">
        <f t="shared" si="27"/>
        <v>300000</v>
      </c>
      <c r="BK25" s="752">
        <f t="shared" si="27"/>
        <v>301803</v>
      </c>
      <c r="BL25" s="739">
        <f t="shared" si="27"/>
        <v>0</v>
      </c>
      <c r="BM25" s="800">
        <f aca="true" t="shared" si="28" ref="BM25:DA25">ROUND(BM26+BM27,0)</f>
        <v>0</v>
      </c>
      <c r="BN25" s="752">
        <f t="shared" si="28"/>
        <v>0</v>
      </c>
      <c r="BO25" s="739">
        <f t="shared" si="28"/>
        <v>0</v>
      </c>
      <c r="BP25" s="800">
        <f t="shared" si="28"/>
        <v>0</v>
      </c>
      <c r="BQ25" s="752">
        <f t="shared" si="28"/>
        <v>0</v>
      </c>
      <c r="BR25" s="739">
        <f t="shared" si="28"/>
        <v>0</v>
      </c>
      <c r="BS25" s="800">
        <f t="shared" si="28"/>
        <v>0</v>
      </c>
      <c r="BT25" s="752">
        <f t="shared" si="28"/>
        <v>0</v>
      </c>
      <c r="BU25" s="739">
        <f t="shared" si="28"/>
        <v>0</v>
      </c>
      <c r="BV25" s="800">
        <f t="shared" si="28"/>
        <v>0</v>
      </c>
      <c r="BW25" s="752">
        <f t="shared" si="28"/>
        <v>0</v>
      </c>
      <c r="BX25" s="739">
        <f t="shared" si="28"/>
        <v>0</v>
      </c>
      <c r="BY25" s="800">
        <f t="shared" si="28"/>
        <v>0</v>
      </c>
      <c r="BZ25" s="752">
        <f t="shared" si="28"/>
        <v>0</v>
      </c>
      <c r="CA25" s="739">
        <f t="shared" si="28"/>
        <v>0</v>
      </c>
      <c r="CB25" s="800">
        <f t="shared" si="28"/>
        <v>0</v>
      </c>
      <c r="CC25" s="752">
        <f t="shared" si="28"/>
        <v>0</v>
      </c>
      <c r="CD25" s="739">
        <f t="shared" si="28"/>
        <v>0</v>
      </c>
      <c r="CE25" s="800">
        <f t="shared" si="28"/>
        <v>0</v>
      </c>
      <c r="CF25" s="752">
        <f t="shared" si="28"/>
        <v>0</v>
      </c>
      <c r="CG25" s="739">
        <f t="shared" si="28"/>
        <v>0</v>
      </c>
      <c r="CH25" s="800">
        <f t="shared" si="28"/>
        <v>0</v>
      </c>
      <c r="CI25" s="752">
        <f t="shared" si="28"/>
        <v>0</v>
      </c>
      <c r="CJ25" s="739">
        <f t="shared" si="28"/>
        <v>0</v>
      </c>
      <c r="CK25" s="800">
        <f t="shared" si="28"/>
        <v>0</v>
      </c>
      <c r="CL25" s="752">
        <f t="shared" si="28"/>
        <v>0</v>
      </c>
      <c r="CM25" s="739">
        <f t="shared" si="28"/>
        <v>0</v>
      </c>
      <c r="CN25" s="800">
        <f t="shared" si="28"/>
        <v>0</v>
      </c>
      <c r="CO25" s="752">
        <f t="shared" si="28"/>
        <v>0</v>
      </c>
      <c r="CP25" s="739">
        <f t="shared" si="3"/>
        <v>296000</v>
      </c>
      <c r="CQ25" s="800">
        <f t="shared" si="4"/>
        <v>300000</v>
      </c>
      <c r="CR25" s="752">
        <f t="shared" si="5"/>
        <v>301803</v>
      </c>
      <c r="CS25" s="739">
        <f t="shared" si="28"/>
        <v>0</v>
      </c>
      <c r="CT25" s="800">
        <f t="shared" si="28"/>
        <v>0</v>
      </c>
      <c r="CU25" s="752">
        <f t="shared" si="28"/>
        <v>0</v>
      </c>
      <c r="CV25" s="739">
        <f>ROUND(CV26+CV27,0)</f>
        <v>0</v>
      </c>
      <c r="CW25" s="800">
        <f>ROUND(CW26+CW27,0)</f>
        <v>0</v>
      </c>
      <c r="CX25" s="752">
        <f>ROUND(CX26+CX27,0)</f>
        <v>0</v>
      </c>
      <c r="CY25" s="739">
        <f t="shared" si="28"/>
        <v>0</v>
      </c>
      <c r="CZ25" s="800">
        <f t="shared" si="28"/>
        <v>0</v>
      </c>
      <c r="DA25" s="752">
        <f t="shared" si="28"/>
        <v>0</v>
      </c>
      <c r="DB25" s="739">
        <f aca="true" t="shared" si="29" ref="DB25:DG25">ROUND(DB26+DB27,0)</f>
        <v>0</v>
      </c>
      <c r="DC25" s="800">
        <f t="shared" si="29"/>
        <v>0</v>
      </c>
      <c r="DD25" s="752">
        <f t="shared" si="29"/>
        <v>0</v>
      </c>
      <c r="DE25" s="739">
        <f t="shared" si="29"/>
        <v>0</v>
      </c>
      <c r="DF25" s="800">
        <f t="shared" si="29"/>
        <v>0</v>
      </c>
      <c r="DG25" s="752">
        <f t="shared" si="29"/>
        <v>0</v>
      </c>
      <c r="DH25" s="739">
        <f aca="true" t="shared" si="30" ref="DH25:DM25">ROUND(DH26+DH27,0)</f>
        <v>0</v>
      </c>
      <c r="DI25" s="800">
        <f t="shared" si="30"/>
        <v>0</v>
      </c>
      <c r="DJ25" s="752">
        <f t="shared" si="30"/>
        <v>0</v>
      </c>
      <c r="DK25" s="739">
        <f t="shared" si="30"/>
        <v>0</v>
      </c>
      <c r="DL25" s="800">
        <f t="shared" si="30"/>
        <v>0</v>
      </c>
      <c r="DM25" s="752">
        <f t="shared" si="30"/>
        <v>0</v>
      </c>
      <c r="DN25" s="739">
        <f>ROUND(DN26+DN27,0)</f>
        <v>296000</v>
      </c>
      <c r="DO25" s="800">
        <f>ROUND(DO26+DO27,0)</f>
        <v>300000</v>
      </c>
      <c r="DP25" s="752">
        <f>ROUND(DP26+DP27,0)</f>
        <v>301803</v>
      </c>
      <c r="DQ25" s="821">
        <f t="shared" si="7"/>
        <v>100.60100000000001</v>
      </c>
      <c r="DR25" s="643"/>
      <c r="DS25" s="643"/>
      <c r="DT25" s="643"/>
      <c r="DU25" s="643"/>
      <c r="DV25" s="643"/>
      <c r="DW25" s="643"/>
      <c r="DX25" s="643"/>
      <c r="DY25" s="643"/>
      <c r="DZ25" s="643"/>
      <c r="EA25" s="643"/>
      <c r="EB25" s="643"/>
      <c r="EC25" s="643"/>
      <c r="ED25" s="643"/>
      <c r="EE25" s="643"/>
      <c r="EF25" s="643"/>
      <c r="EG25" s="643"/>
      <c r="EH25" s="643"/>
      <c r="EI25" s="643"/>
      <c r="EJ25" s="643"/>
      <c r="EK25" s="643"/>
      <c r="EL25" s="643"/>
      <c r="EM25" s="643"/>
      <c r="EN25" s="643"/>
      <c r="EO25" s="643"/>
      <c r="EP25" s="643"/>
      <c r="EQ25" s="643"/>
      <c r="ER25" s="643"/>
      <c r="ES25" s="643"/>
      <c r="ET25" s="643"/>
      <c r="EU25" s="643"/>
      <c r="EV25" s="643"/>
      <c r="EW25" s="643"/>
      <c r="EX25" s="643"/>
      <c r="EY25" s="643"/>
      <c r="EZ25" s="643"/>
      <c r="FA25" s="643"/>
      <c r="FB25" s="643"/>
      <c r="FC25" s="643"/>
      <c r="FD25" s="643"/>
      <c r="FE25" s="643"/>
      <c r="FF25" s="643"/>
      <c r="FG25" s="643"/>
      <c r="FH25" s="643"/>
      <c r="FI25" s="643"/>
      <c r="FJ25" s="643"/>
      <c r="FK25" s="643"/>
      <c r="FL25" s="643"/>
      <c r="FM25" s="643"/>
      <c r="FN25" s="643"/>
      <c r="FO25" s="643"/>
      <c r="FP25" s="643"/>
      <c r="FQ25" s="643"/>
      <c r="FR25" s="643"/>
      <c r="FS25" s="643"/>
      <c r="FT25" s="643"/>
      <c r="FU25" s="643"/>
      <c r="FV25" s="643"/>
      <c r="FW25" s="643"/>
      <c r="FX25" s="643"/>
      <c r="FY25" s="643"/>
      <c r="FZ25" s="643"/>
      <c r="GA25" s="643"/>
      <c r="GB25" s="643"/>
      <c r="GC25" s="643"/>
      <c r="GD25" s="643"/>
      <c r="GE25" s="643"/>
      <c r="GF25" s="643"/>
      <c r="GG25" s="643"/>
      <c r="GH25" s="643"/>
      <c r="GI25" s="643"/>
      <c r="GJ25" s="643"/>
      <c r="GK25" s="643"/>
      <c r="GL25" s="643"/>
      <c r="GM25" s="643"/>
      <c r="GN25" s="643"/>
      <c r="GO25" s="643"/>
      <c r="GP25" s="643"/>
      <c r="GQ25" s="643"/>
      <c r="GR25" s="643"/>
      <c r="GS25" s="643"/>
      <c r="GT25" s="643"/>
      <c r="GU25" s="643"/>
      <c r="GV25" s="643"/>
      <c r="GW25" s="643"/>
      <c r="GX25" s="643"/>
      <c r="GY25" s="643"/>
      <c r="GZ25" s="643"/>
      <c r="HA25" s="643"/>
      <c r="HB25" s="643"/>
      <c r="HC25" s="643"/>
      <c r="HD25" s="643"/>
      <c r="HE25" s="643"/>
      <c r="HF25" s="643"/>
      <c r="HG25" s="643"/>
      <c r="HH25" s="643"/>
      <c r="HI25" s="643"/>
      <c r="HJ25" s="643"/>
      <c r="HK25" s="643"/>
      <c r="HL25" s="643"/>
      <c r="HM25" s="643"/>
      <c r="HN25" s="643"/>
      <c r="HO25" s="643"/>
      <c r="HP25" s="643"/>
      <c r="HQ25" s="643"/>
      <c r="HR25" s="643"/>
      <c r="HS25" s="643"/>
      <c r="HT25" s="643"/>
      <c r="HU25" s="643"/>
      <c r="HV25" s="643"/>
      <c r="HW25" s="643"/>
      <c r="HX25" s="643"/>
    </row>
    <row r="26" spans="1:218" ht="12.75" customHeight="1" hidden="1">
      <c r="A26" s="713"/>
      <c r="B26" s="715" t="s">
        <v>996</v>
      </c>
      <c r="C26" s="1962">
        <v>92311</v>
      </c>
      <c r="D26" s="740"/>
      <c r="E26" s="801"/>
      <c r="F26" s="753"/>
      <c r="G26" s="740"/>
      <c r="H26" s="801"/>
      <c r="I26" s="753"/>
      <c r="J26" s="740"/>
      <c r="K26" s="801"/>
      <c r="L26" s="753"/>
      <c r="M26" s="740"/>
      <c r="N26" s="801"/>
      <c r="O26" s="753"/>
      <c r="P26" s="740"/>
      <c r="Q26" s="801"/>
      <c r="R26" s="753"/>
      <c r="S26" s="740"/>
      <c r="T26" s="801"/>
      <c r="U26" s="753"/>
      <c r="V26" s="740"/>
      <c r="W26" s="801"/>
      <c r="X26" s="753"/>
      <c r="Y26" s="740"/>
      <c r="Z26" s="801"/>
      <c r="AA26" s="753"/>
      <c r="AB26" s="740"/>
      <c r="AC26" s="801"/>
      <c r="AD26" s="753"/>
      <c r="AE26" s="740"/>
      <c r="AF26" s="801"/>
      <c r="AG26" s="753"/>
      <c r="AH26" s="740"/>
      <c r="AI26" s="801"/>
      <c r="AJ26" s="753"/>
      <c r="AK26" s="740"/>
      <c r="AL26" s="801"/>
      <c r="AM26" s="753"/>
      <c r="AN26" s="740"/>
      <c r="AO26" s="801"/>
      <c r="AP26" s="753"/>
      <c r="AQ26" s="740"/>
      <c r="AR26" s="801"/>
      <c r="AS26" s="753"/>
      <c r="AT26" s="740"/>
      <c r="AU26" s="801"/>
      <c r="AV26" s="753"/>
      <c r="AW26" s="740"/>
      <c r="AX26" s="801"/>
      <c r="AY26" s="753"/>
      <c r="AZ26" s="740"/>
      <c r="BA26" s="801"/>
      <c r="BB26" s="753"/>
      <c r="BC26" s="740"/>
      <c r="BD26" s="801"/>
      <c r="BE26" s="753"/>
      <c r="BF26" s="740"/>
      <c r="BG26" s="801"/>
      <c r="BH26" s="753"/>
      <c r="BI26" s="740"/>
      <c r="BJ26" s="801"/>
      <c r="BK26" s="753"/>
      <c r="BL26" s="740"/>
      <c r="BM26" s="801"/>
      <c r="BN26" s="753"/>
      <c r="BO26" s="740"/>
      <c r="BP26" s="801"/>
      <c r="BQ26" s="753"/>
      <c r="BR26" s="740"/>
      <c r="BS26" s="801"/>
      <c r="BT26" s="753"/>
      <c r="BU26" s="740"/>
      <c r="BV26" s="801"/>
      <c r="BW26" s="753"/>
      <c r="BX26" s="740"/>
      <c r="BY26" s="801"/>
      <c r="BZ26" s="753"/>
      <c r="CA26" s="740"/>
      <c r="CB26" s="801"/>
      <c r="CC26" s="753"/>
      <c r="CD26" s="740"/>
      <c r="CE26" s="801"/>
      <c r="CF26" s="753"/>
      <c r="CG26" s="740"/>
      <c r="CH26" s="801"/>
      <c r="CI26" s="753"/>
      <c r="CJ26" s="740"/>
      <c r="CK26" s="801"/>
      <c r="CL26" s="753"/>
      <c r="CM26" s="740"/>
      <c r="CN26" s="801"/>
      <c r="CO26" s="753"/>
      <c r="CP26" s="740">
        <f t="shared" si="3"/>
        <v>0</v>
      </c>
      <c r="CQ26" s="801">
        <f t="shared" si="4"/>
        <v>0</v>
      </c>
      <c r="CR26" s="753">
        <f t="shared" si="5"/>
        <v>0</v>
      </c>
      <c r="CS26" s="740"/>
      <c r="CT26" s="801"/>
      <c r="CU26" s="753"/>
      <c r="CV26" s="740"/>
      <c r="CW26" s="801"/>
      <c r="CX26" s="753"/>
      <c r="CY26" s="740"/>
      <c r="CZ26" s="801"/>
      <c r="DA26" s="753"/>
      <c r="DB26" s="740"/>
      <c r="DC26" s="801"/>
      <c r="DD26" s="753"/>
      <c r="DE26" s="740">
        <f>CS26+CY26+DB26</f>
        <v>0</v>
      </c>
      <c r="DF26" s="801">
        <f>CT26+CZ26+DC26</f>
        <v>0</v>
      </c>
      <c r="DG26" s="753">
        <f>CU26+DA26+DD26</f>
        <v>0</v>
      </c>
      <c r="DH26" s="740"/>
      <c r="DI26" s="801"/>
      <c r="DJ26" s="753"/>
      <c r="DK26" s="740"/>
      <c r="DL26" s="801"/>
      <c r="DM26" s="753"/>
      <c r="DN26" s="740">
        <f aca="true" t="shared" si="31" ref="DN26:DP27">CP26+DE26+DH26+DK26</f>
        <v>0</v>
      </c>
      <c r="DO26" s="801">
        <f t="shared" si="31"/>
        <v>0</v>
      </c>
      <c r="DP26" s="753">
        <f t="shared" si="31"/>
        <v>0</v>
      </c>
      <c r="DQ26" s="823" t="e">
        <f aca="true" t="shared" si="32" ref="DQ26:DQ43">DP26/DO26*100</f>
        <v>#DIV/0!</v>
      </c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</row>
    <row r="27" spans="1:232" s="149" customFormat="1" ht="12.75" customHeight="1">
      <c r="A27" s="713"/>
      <c r="B27" s="715" t="s">
        <v>458</v>
      </c>
      <c r="C27" s="1962">
        <v>92314</v>
      </c>
      <c r="D27" s="740"/>
      <c r="E27" s="801"/>
      <c r="F27" s="753"/>
      <c r="G27" s="740"/>
      <c r="H27" s="801"/>
      <c r="I27" s="753"/>
      <c r="J27" s="740"/>
      <c r="K27" s="801"/>
      <c r="L27" s="753"/>
      <c r="M27" s="740"/>
      <c r="N27" s="801"/>
      <c r="O27" s="753"/>
      <c r="P27" s="740"/>
      <c r="Q27" s="801"/>
      <c r="R27" s="753"/>
      <c r="S27" s="740"/>
      <c r="T27" s="801"/>
      <c r="U27" s="753"/>
      <c r="V27" s="740"/>
      <c r="W27" s="801"/>
      <c r="X27" s="753"/>
      <c r="Y27" s="740"/>
      <c r="Z27" s="801"/>
      <c r="AA27" s="753"/>
      <c r="AB27" s="740"/>
      <c r="AC27" s="801"/>
      <c r="AD27" s="753"/>
      <c r="AE27" s="740"/>
      <c r="AF27" s="801"/>
      <c r="AG27" s="753"/>
      <c r="AH27" s="740"/>
      <c r="AI27" s="801"/>
      <c r="AJ27" s="753"/>
      <c r="AK27" s="740"/>
      <c r="AL27" s="801"/>
      <c r="AM27" s="753"/>
      <c r="AN27" s="740"/>
      <c r="AO27" s="801"/>
      <c r="AP27" s="753"/>
      <c r="AQ27" s="740"/>
      <c r="AR27" s="801"/>
      <c r="AS27" s="753"/>
      <c r="AT27" s="740"/>
      <c r="AU27" s="801"/>
      <c r="AV27" s="753"/>
      <c r="AW27" s="740"/>
      <c r="AX27" s="801"/>
      <c r="AY27" s="753"/>
      <c r="AZ27" s="740"/>
      <c r="BA27" s="801"/>
      <c r="BB27" s="753"/>
      <c r="BC27" s="740">
        <v>296000</v>
      </c>
      <c r="BD27" s="801">
        <v>300000</v>
      </c>
      <c r="BE27" s="753">
        <v>301803.144</v>
      </c>
      <c r="BF27" s="740"/>
      <c r="BG27" s="801"/>
      <c r="BH27" s="753"/>
      <c r="BI27" s="740">
        <f>D27+G27+J27+M27+P27+S27+V27+Y27+AB27+AE27+AH27+AK27+AN27+AQ27+AT27+AW27+AZ27+BC27+BF27</f>
        <v>296000</v>
      </c>
      <c r="BJ27" s="801">
        <f>E27+H27+K27+N27+Q27+T27+W27+Z27+AC27+AF27+AI27+AL27+AO27+AR27+AU27+AX27+BA27+BD27+BG27</f>
        <v>300000</v>
      </c>
      <c r="BK27" s="753">
        <f>F27+I27+L27+O27+R27+U27+X27+AA27+AD27+AG27+AJ27+AM27+AP27+AS27+AV27+AY27+BB27+BE27+BH27</f>
        <v>301803.144</v>
      </c>
      <c r="BL27" s="740"/>
      <c r="BM27" s="801"/>
      <c r="BN27" s="753"/>
      <c r="BO27" s="740"/>
      <c r="BP27" s="801"/>
      <c r="BQ27" s="753"/>
      <c r="BR27" s="740"/>
      <c r="BS27" s="801"/>
      <c r="BT27" s="753"/>
      <c r="BU27" s="740"/>
      <c r="BV27" s="801"/>
      <c r="BW27" s="753"/>
      <c r="BX27" s="740"/>
      <c r="BY27" s="801"/>
      <c r="BZ27" s="753"/>
      <c r="CA27" s="740"/>
      <c r="CB27" s="801"/>
      <c r="CC27" s="753"/>
      <c r="CD27" s="740"/>
      <c r="CE27" s="801"/>
      <c r="CF27" s="753"/>
      <c r="CG27" s="740"/>
      <c r="CH27" s="801"/>
      <c r="CI27" s="753"/>
      <c r="CJ27" s="740"/>
      <c r="CK27" s="801"/>
      <c r="CL27" s="753"/>
      <c r="CM27" s="740">
        <f>BL27+BO27+BR27+BU27+BX27+CA27+CD27+CG27+CJ27</f>
        <v>0</v>
      </c>
      <c r="CN27" s="801">
        <f>BM27+BP27+BS27+BV27+BY27+CB27+CE27+CH27+CK27</f>
        <v>0</v>
      </c>
      <c r="CO27" s="753">
        <f>BN27+BQ27+BT27+BW27+BZ27+CC27+CF27+CI27+CL27</f>
        <v>0</v>
      </c>
      <c r="CP27" s="740">
        <f t="shared" si="3"/>
        <v>296000</v>
      </c>
      <c r="CQ27" s="801">
        <f t="shared" si="4"/>
        <v>300000</v>
      </c>
      <c r="CR27" s="753">
        <f t="shared" si="5"/>
        <v>301803.144</v>
      </c>
      <c r="CS27" s="740"/>
      <c r="CT27" s="801"/>
      <c r="CU27" s="753"/>
      <c r="CV27" s="740"/>
      <c r="CW27" s="801"/>
      <c r="CX27" s="753"/>
      <c r="CY27" s="740"/>
      <c r="CZ27" s="801"/>
      <c r="DA27" s="753"/>
      <c r="DB27" s="740"/>
      <c r="DC27" s="801"/>
      <c r="DD27" s="753"/>
      <c r="DE27" s="740">
        <f>CS27+CV27+CY27+DB27</f>
        <v>0</v>
      </c>
      <c r="DF27" s="801">
        <f>CT27+CW27+CZ27+DC27</f>
        <v>0</v>
      </c>
      <c r="DG27" s="753">
        <f>CU27+CX27+DA27+DD27</f>
        <v>0</v>
      </c>
      <c r="DH27" s="740"/>
      <c r="DI27" s="801"/>
      <c r="DJ27" s="753"/>
      <c r="DK27" s="740"/>
      <c r="DL27" s="801"/>
      <c r="DM27" s="753"/>
      <c r="DN27" s="740">
        <f t="shared" si="31"/>
        <v>296000</v>
      </c>
      <c r="DO27" s="801">
        <f t="shared" si="31"/>
        <v>300000</v>
      </c>
      <c r="DP27" s="753">
        <f t="shared" si="31"/>
        <v>301803.144</v>
      </c>
      <c r="DQ27" s="823">
        <f t="shared" si="32"/>
        <v>100.60104799999998</v>
      </c>
      <c r="DR27" s="643"/>
      <c r="DS27" s="643"/>
      <c r="DT27" s="643"/>
      <c r="DU27" s="643"/>
      <c r="DV27" s="643"/>
      <c r="DW27" s="643"/>
      <c r="DX27" s="643"/>
      <c r="DY27" s="643"/>
      <c r="DZ27" s="643"/>
      <c r="EA27" s="643"/>
      <c r="EB27" s="643"/>
      <c r="EC27" s="643"/>
      <c r="ED27" s="643"/>
      <c r="EE27" s="643"/>
      <c r="EF27" s="643"/>
      <c r="EG27" s="643"/>
      <c r="EH27" s="643"/>
      <c r="EI27" s="643"/>
      <c r="EJ27" s="643"/>
      <c r="EK27" s="643"/>
      <c r="EL27" s="643"/>
      <c r="EM27" s="643"/>
      <c r="EN27" s="643"/>
      <c r="EO27" s="643"/>
      <c r="EP27" s="643"/>
      <c r="EQ27" s="643"/>
      <c r="ER27" s="643"/>
      <c r="ES27" s="643"/>
      <c r="ET27" s="643"/>
      <c r="EU27" s="643"/>
      <c r="EV27" s="643"/>
      <c r="EW27" s="643"/>
      <c r="EX27" s="643"/>
      <c r="EY27" s="643"/>
      <c r="EZ27" s="643"/>
      <c r="FA27" s="643"/>
      <c r="FB27" s="643"/>
      <c r="FC27" s="643"/>
      <c r="FD27" s="643"/>
      <c r="FE27" s="643"/>
      <c r="FF27" s="643"/>
      <c r="FG27" s="643"/>
      <c r="FH27" s="643"/>
      <c r="FI27" s="643"/>
      <c r="FJ27" s="643"/>
      <c r="FK27" s="643"/>
      <c r="FL27" s="643"/>
      <c r="FM27" s="643"/>
      <c r="FN27" s="643"/>
      <c r="FO27" s="643"/>
      <c r="FP27" s="643"/>
      <c r="FQ27" s="643"/>
      <c r="FR27" s="643"/>
      <c r="FS27" s="643"/>
      <c r="FT27" s="643"/>
      <c r="FU27" s="643"/>
      <c r="FV27" s="643"/>
      <c r="FW27" s="643"/>
      <c r="FX27" s="643"/>
      <c r="FY27" s="643"/>
      <c r="FZ27" s="643"/>
      <c r="GA27" s="643"/>
      <c r="GB27" s="643"/>
      <c r="GC27" s="643"/>
      <c r="GD27" s="643"/>
      <c r="GE27" s="643"/>
      <c r="GF27" s="643"/>
      <c r="GG27" s="643"/>
      <c r="GH27" s="643"/>
      <c r="GI27" s="643"/>
      <c r="GJ27" s="643"/>
      <c r="GK27" s="643"/>
      <c r="GL27" s="643"/>
      <c r="GM27" s="643"/>
      <c r="GN27" s="643"/>
      <c r="GO27" s="643"/>
      <c r="GP27" s="643"/>
      <c r="GQ27" s="643"/>
      <c r="GR27" s="643"/>
      <c r="GS27" s="643"/>
      <c r="GT27" s="643"/>
      <c r="GU27" s="643"/>
      <c r="GV27" s="643"/>
      <c r="GW27" s="643"/>
      <c r="GX27" s="643"/>
      <c r="GY27" s="643"/>
      <c r="GZ27" s="643"/>
      <c r="HA27" s="643"/>
      <c r="HB27" s="643"/>
      <c r="HC27" s="643"/>
      <c r="HD27" s="643"/>
      <c r="HE27" s="643"/>
      <c r="HF27" s="643"/>
      <c r="HG27" s="643"/>
      <c r="HH27" s="643"/>
      <c r="HI27" s="643"/>
      <c r="HJ27" s="643"/>
      <c r="HK27" s="643"/>
      <c r="HL27" s="643"/>
      <c r="HM27" s="643"/>
      <c r="HN27" s="643"/>
      <c r="HO27" s="643"/>
      <c r="HP27" s="643"/>
      <c r="HQ27" s="643"/>
      <c r="HR27" s="643"/>
      <c r="HS27" s="643"/>
      <c r="HT27" s="643"/>
      <c r="HU27" s="643"/>
      <c r="HV27" s="643"/>
      <c r="HW27" s="643"/>
      <c r="HX27" s="643"/>
    </row>
    <row r="28" spans="1:218" ht="12.75" customHeight="1">
      <c r="A28" s="720" t="s">
        <v>997</v>
      </c>
      <c r="B28" s="721" t="s">
        <v>998</v>
      </c>
      <c r="C28" s="1964">
        <v>929</v>
      </c>
      <c r="D28" s="739">
        <f>ROUND(SUM(D29:D40),0)</f>
        <v>5000</v>
      </c>
      <c r="E28" s="800">
        <f>ROUND(SUM(E29:E40),0)</f>
        <v>5000</v>
      </c>
      <c r="F28" s="752">
        <f aca="true" t="shared" si="33" ref="F28:BN28">ROUND(SUM(F29:F40),0)</f>
        <v>4958</v>
      </c>
      <c r="G28" s="739">
        <f t="shared" si="33"/>
        <v>0</v>
      </c>
      <c r="H28" s="800">
        <f t="shared" si="33"/>
        <v>0</v>
      </c>
      <c r="I28" s="752">
        <f t="shared" si="33"/>
        <v>0</v>
      </c>
      <c r="J28" s="739">
        <f t="shared" si="33"/>
        <v>59104</v>
      </c>
      <c r="K28" s="800">
        <f t="shared" si="33"/>
        <v>54654</v>
      </c>
      <c r="L28" s="752">
        <f t="shared" si="33"/>
        <v>50266</v>
      </c>
      <c r="M28" s="739">
        <f t="shared" si="33"/>
        <v>0</v>
      </c>
      <c r="N28" s="800">
        <f t="shared" si="33"/>
        <v>0</v>
      </c>
      <c r="O28" s="752">
        <f t="shared" si="33"/>
        <v>0</v>
      </c>
      <c r="P28" s="739">
        <f t="shared" si="33"/>
        <v>0</v>
      </c>
      <c r="Q28" s="800">
        <f t="shared" si="33"/>
        <v>0</v>
      </c>
      <c r="R28" s="752">
        <f t="shared" si="33"/>
        <v>0</v>
      </c>
      <c r="S28" s="739">
        <f t="shared" si="33"/>
        <v>0</v>
      </c>
      <c r="T28" s="800">
        <f t="shared" si="33"/>
        <v>0</v>
      </c>
      <c r="U28" s="752">
        <f t="shared" si="33"/>
        <v>0</v>
      </c>
      <c r="V28" s="739">
        <f t="shared" si="33"/>
        <v>0</v>
      </c>
      <c r="W28" s="800">
        <f t="shared" si="33"/>
        <v>0</v>
      </c>
      <c r="X28" s="752">
        <f t="shared" si="33"/>
        <v>0</v>
      </c>
      <c r="Y28" s="739">
        <f t="shared" si="33"/>
        <v>0</v>
      </c>
      <c r="Z28" s="800">
        <f t="shared" si="33"/>
        <v>0</v>
      </c>
      <c r="AA28" s="752">
        <f t="shared" si="33"/>
        <v>0</v>
      </c>
      <c r="AB28" s="739">
        <f t="shared" si="33"/>
        <v>0</v>
      </c>
      <c r="AC28" s="800">
        <f t="shared" si="33"/>
        <v>0</v>
      </c>
      <c r="AD28" s="752">
        <f t="shared" si="33"/>
        <v>0</v>
      </c>
      <c r="AE28" s="739">
        <f t="shared" si="33"/>
        <v>0</v>
      </c>
      <c r="AF28" s="800">
        <f t="shared" si="33"/>
        <v>0</v>
      </c>
      <c r="AG28" s="752">
        <f t="shared" si="33"/>
        <v>0</v>
      </c>
      <c r="AH28" s="739">
        <f t="shared" si="33"/>
        <v>326300</v>
      </c>
      <c r="AI28" s="800">
        <f t="shared" si="33"/>
        <v>317300</v>
      </c>
      <c r="AJ28" s="752">
        <f t="shared" si="33"/>
        <v>306756</v>
      </c>
      <c r="AK28" s="739">
        <f t="shared" si="33"/>
        <v>20000</v>
      </c>
      <c r="AL28" s="800">
        <f t="shared" si="33"/>
        <v>20000</v>
      </c>
      <c r="AM28" s="752">
        <f t="shared" si="33"/>
        <v>25196</v>
      </c>
      <c r="AN28" s="739">
        <f t="shared" si="33"/>
        <v>0</v>
      </c>
      <c r="AO28" s="800">
        <f t="shared" si="33"/>
        <v>0</v>
      </c>
      <c r="AP28" s="752">
        <f t="shared" si="33"/>
        <v>0</v>
      </c>
      <c r="AQ28" s="739">
        <f t="shared" si="33"/>
        <v>0</v>
      </c>
      <c r="AR28" s="800">
        <f t="shared" si="33"/>
        <v>0</v>
      </c>
      <c r="AS28" s="752">
        <f t="shared" si="33"/>
        <v>0</v>
      </c>
      <c r="AT28" s="739">
        <f t="shared" si="33"/>
        <v>0</v>
      </c>
      <c r="AU28" s="800">
        <f t="shared" si="33"/>
        <v>0</v>
      </c>
      <c r="AV28" s="752">
        <f t="shared" si="33"/>
        <v>0</v>
      </c>
      <c r="AW28" s="739">
        <f t="shared" si="33"/>
        <v>0</v>
      </c>
      <c r="AX28" s="800">
        <f t="shared" si="33"/>
        <v>0</v>
      </c>
      <c r="AY28" s="752">
        <f t="shared" si="33"/>
        <v>0</v>
      </c>
      <c r="AZ28" s="739">
        <f t="shared" si="33"/>
        <v>0</v>
      </c>
      <c r="BA28" s="800">
        <f t="shared" si="33"/>
        <v>0</v>
      </c>
      <c r="BB28" s="752">
        <f t="shared" si="33"/>
        <v>0</v>
      </c>
      <c r="BC28" s="739">
        <f t="shared" si="33"/>
        <v>5000</v>
      </c>
      <c r="BD28" s="800">
        <f t="shared" si="33"/>
        <v>5000</v>
      </c>
      <c r="BE28" s="752">
        <f>SUM(BE29:BE40)</f>
        <v>4470.302</v>
      </c>
      <c r="BF28" s="739">
        <f t="shared" si="33"/>
        <v>0</v>
      </c>
      <c r="BG28" s="800">
        <f t="shared" si="33"/>
        <v>4000</v>
      </c>
      <c r="BH28" s="752">
        <f t="shared" si="33"/>
        <v>4000</v>
      </c>
      <c r="BI28" s="739">
        <f t="shared" si="33"/>
        <v>415404</v>
      </c>
      <c r="BJ28" s="800">
        <f t="shared" si="33"/>
        <v>405954</v>
      </c>
      <c r="BK28" s="752">
        <f t="shared" si="33"/>
        <v>395646</v>
      </c>
      <c r="BL28" s="739">
        <f t="shared" si="33"/>
        <v>0</v>
      </c>
      <c r="BM28" s="800">
        <f t="shared" si="33"/>
        <v>0</v>
      </c>
      <c r="BN28" s="752">
        <f t="shared" si="33"/>
        <v>0</v>
      </c>
      <c r="BO28" s="739">
        <f aca="true" t="shared" si="34" ref="BO28:CO28">ROUND(SUM(BO29:BO40),0)</f>
        <v>0</v>
      </c>
      <c r="BP28" s="800">
        <f t="shared" si="34"/>
        <v>0</v>
      </c>
      <c r="BQ28" s="752">
        <f t="shared" si="34"/>
        <v>0</v>
      </c>
      <c r="BR28" s="739">
        <f t="shared" si="34"/>
        <v>0</v>
      </c>
      <c r="BS28" s="800">
        <f t="shared" si="34"/>
        <v>0</v>
      </c>
      <c r="BT28" s="752">
        <f t="shared" si="34"/>
        <v>0</v>
      </c>
      <c r="BU28" s="739">
        <f t="shared" si="34"/>
        <v>0</v>
      </c>
      <c r="BV28" s="800">
        <f t="shared" si="34"/>
        <v>0</v>
      </c>
      <c r="BW28" s="752">
        <f t="shared" si="34"/>
        <v>0</v>
      </c>
      <c r="BX28" s="739">
        <f t="shared" si="34"/>
        <v>0</v>
      </c>
      <c r="BY28" s="800">
        <f t="shared" si="34"/>
        <v>0</v>
      </c>
      <c r="BZ28" s="752">
        <f t="shared" si="34"/>
        <v>0</v>
      </c>
      <c r="CA28" s="739">
        <f t="shared" si="34"/>
        <v>3000</v>
      </c>
      <c r="CB28" s="800">
        <f t="shared" si="34"/>
        <v>3000</v>
      </c>
      <c r="CC28" s="752">
        <f t="shared" si="34"/>
        <v>3694</v>
      </c>
      <c r="CD28" s="739">
        <f t="shared" si="34"/>
        <v>0</v>
      </c>
      <c r="CE28" s="800">
        <f t="shared" si="34"/>
        <v>0</v>
      </c>
      <c r="CF28" s="752">
        <f t="shared" si="34"/>
        <v>0</v>
      </c>
      <c r="CG28" s="739">
        <f t="shared" si="34"/>
        <v>0</v>
      </c>
      <c r="CH28" s="800">
        <f t="shared" si="34"/>
        <v>0</v>
      </c>
      <c r="CI28" s="752">
        <f t="shared" si="34"/>
        <v>0</v>
      </c>
      <c r="CJ28" s="739">
        <f t="shared" si="34"/>
        <v>0</v>
      </c>
      <c r="CK28" s="800">
        <f t="shared" si="34"/>
        <v>0</v>
      </c>
      <c r="CL28" s="752">
        <f t="shared" si="34"/>
        <v>0</v>
      </c>
      <c r="CM28" s="739">
        <f t="shared" si="34"/>
        <v>3000</v>
      </c>
      <c r="CN28" s="800">
        <f t="shared" si="34"/>
        <v>3000</v>
      </c>
      <c r="CO28" s="752">
        <f t="shared" si="34"/>
        <v>3694</v>
      </c>
      <c r="CP28" s="739">
        <f t="shared" si="3"/>
        <v>418404</v>
      </c>
      <c r="CQ28" s="800">
        <f t="shared" si="4"/>
        <v>408954</v>
      </c>
      <c r="CR28" s="752">
        <f t="shared" si="5"/>
        <v>399340</v>
      </c>
      <c r="CS28" s="739">
        <f aca="true" t="shared" si="35" ref="CS28:DA28">ROUND(SUM(CS29:CS40),0)</f>
        <v>0</v>
      </c>
      <c r="CT28" s="800">
        <f t="shared" si="35"/>
        <v>0</v>
      </c>
      <c r="CU28" s="752">
        <f t="shared" si="35"/>
        <v>0</v>
      </c>
      <c r="CV28" s="739">
        <f>ROUND(SUM(CV29:CV40),0)</f>
        <v>0</v>
      </c>
      <c r="CW28" s="800">
        <f>ROUND(SUM(CW29:CW40),0)</f>
        <v>0</v>
      </c>
      <c r="CX28" s="752">
        <f>ROUND(SUM(CX29:CX40),0)</f>
        <v>0</v>
      </c>
      <c r="CY28" s="739">
        <f t="shared" si="35"/>
        <v>0</v>
      </c>
      <c r="CZ28" s="800">
        <f t="shared" si="35"/>
        <v>0</v>
      </c>
      <c r="DA28" s="752">
        <f t="shared" si="35"/>
        <v>0</v>
      </c>
      <c r="DB28" s="739">
        <f aca="true" t="shared" si="36" ref="DB28:DG28">ROUND(SUM(DB29:DB40),0)</f>
        <v>0</v>
      </c>
      <c r="DC28" s="800">
        <f t="shared" si="36"/>
        <v>0</v>
      </c>
      <c r="DD28" s="752">
        <f t="shared" si="36"/>
        <v>0</v>
      </c>
      <c r="DE28" s="739">
        <f t="shared" si="36"/>
        <v>0</v>
      </c>
      <c r="DF28" s="800">
        <f t="shared" si="36"/>
        <v>0</v>
      </c>
      <c r="DG28" s="752">
        <f t="shared" si="36"/>
        <v>0</v>
      </c>
      <c r="DH28" s="739">
        <f aca="true" t="shared" si="37" ref="DH28:DP28">ROUND(SUM(DH29:DH40),0)</f>
        <v>0</v>
      </c>
      <c r="DI28" s="800">
        <f t="shared" si="37"/>
        <v>0</v>
      </c>
      <c r="DJ28" s="752">
        <f t="shared" si="37"/>
        <v>0</v>
      </c>
      <c r="DK28" s="739">
        <f t="shared" si="37"/>
        <v>0</v>
      </c>
      <c r="DL28" s="800">
        <f t="shared" si="37"/>
        <v>0</v>
      </c>
      <c r="DM28" s="752">
        <f t="shared" si="37"/>
        <v>0</v>
      </c>
      <c r="DN28" s="739">
        <f t="shared" si="37"/>
        <v>418404</v>
      </c>
      <c r="DO28" s="800">
        <f t="shared" si="37"/>
        <v>408954</v>
      </c>
      <c r="DP28" s="752">
        <f t="shared" si="37"/>
        <v>399340</v>
      </c>
      <c r="DQ28" s="822">
        <f t="shared" si="32"/>
        <v>97.64912435139405</v>
      </c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</row>
    <row r="29" spans="1:218" ht="12.75" customHeight="1">
      <c r="A29" s="713"/>
      <c r="B29" s="715" t="s">
        <v>1104</v>
      </c>
      <c r="C29" s="1962" t="s">
        <v>910</v>
      </c>
      <c r="D29" s="740"/>
      <c r="E29" s="801"/>
      <c r="F29" s="753"/>
      <c r="G29" s="740"/>
      <c r="H29" s="801"/>
      <c r="I29" s="753"/>
      <c r="J29" s="740"/>
      <c r="K29" s="801"/>
      <c r="L29" s="753"/>
      <c r="M29" s="740"/>
      <c r="N29" s="801"/>
      <c r="O29" s="753"/>
      <c r="P29" s="740"/>
      <c r="Q29" s="801"/>
      <c r="R29" s="753"/>
      <c r="S29" s="740"/>
      <c r="T29" s="801"/>
      <c r="U29" s="753"/>
      <c r="V29" s="740"/>
      <c r="W29" s="801"/>
      <c r="X29" s="753"/>
      <c r="Y29" s="740"/>
      <c r="Z29" s="801"/>
      <c r="AA29" s="753"/>
      <c r="AB29" s="740"/>
      <c r="AC29" s="801"/>
      <c r="AD29" s="753"/>
      <c r="AE29" s="740"/>
      <c r="AF29" s="801"/>
      <c r="AG29" s="753"/>
      <c r="AH29" s="740"/>
      <c r="AI29" s="801"/>
      <c r="AJ29" s="753"/>
      <c r="AK29" s="740">
        <v>20000</v>
      </c>
      <c r="AL29" s="801">
        <v>20000</v>
      </c>
      <c r="AM29" s="753">
        <v>25195.575</v>
      </c>
      <c r="AN29" s="740"/>
      <c r="AO29" s="801"/>
      <c r="AP29" s="753"/>
      <c r="AQ29" s="740"/>
      <c r="AR29" s="801"/>
      <c r="AS29" s="753"/>
      <c r="AT29" s="740"/>
      <c r="AU29" s="801"/>
      <c r="AV29" s="753"/>
      <c r="AW29" s="740"/>
      <c r="AX29" s="801"/>
      <c r="AY29" s="753"/>
      <c r="AZ29" s="740"/>
      <c r="BA29" s="801"/>
      <c r="BB29" s="753"/>
      <c r="BC29" s="740"/>
      <c r="BD29" s="801"/>
      <c r="BE29" s="753"/>
      <c r="BF29" s="740"/>
      <c r="BG29" s="801"/>
      <c r="BH29" s="753"/>
      <c r="BI29" s="740">
        <f aca="true" t="shared" si="38" ref="BI29:BI41">D29+G29+J29+M29+P29+S29+V29+Y29+AB29+AE29+AH29+AK29+AN29+AQ29+AT29+AW29+AZ29+BC29+BF29</f>
        <v>20000</v>
      </c>
      <c r="BJ29" s="801">
        <f aca="true" t="shared" si="39" ref="BJ29:BJ41">E29+H29+K29+N29+Q29+T29+W29+Z29+AC29+AF29+AI29+AL29+AO29+AR29+AU29+AX29+BA29+BD29+BG29</f>
        <v>20000</v>
      </c>
      <c r="BK29" s="753">
        <f aca="true" t="shared" si="40" ref="BK29:BK41">F29+I29+L29+O29+R29+U29+X29+AA29+AD29+AG29+AJ29+AM29+AP29+AS29+AV29+AY29+BB29+BE29+BH29</f>
        <v>25195.575</v>
      </c>
      <c r="BL29" s="740"/>
      <c r="BM29" s="801"/>
      <c r="BN29" s="753"/>
      <c r="BO29" s="740"/>
      <c r="BP29" s="801"/>
      <c r="BQ29" s="753"/>
      <c r="BR29" s="740"/>
      <c r="BS29" s="801"/>
      <c r="BT29" s="753"/>
      <c r="BU29" s="740"/>
      <c r="BV29" s="801"/>
      <c r="BW29" s="753"/>
      <c r="BX29" s="740"/>
      <c r="BY29" s="801"/>
      <c r="BZ29" s="753"/>
      <c r="CA29" s="740"/>
      <c r="CB29" s="801"/>
      <c r="CC29" s="753"/>
      <c r="CD29" s="740"/>
      <c r="CE29" s="801"/>
      <c r="CF29" s="753"/>
      <c r="CG29" s="740"/>
      <c r="CH29" s="801"/>
      <c r="CI29" s="753"/>
      <c r="CJ29" s="740"/>
      <c r="CK29" s="801"/>
      <c r="CL29" s="753"/>
      <c r="CM29" s="740">
        <f aca="true" t="shared" si="41" ref="CM29:CM41">BL29+BO29+BR29+BU29+BX29+CA29+CD29+CG29+CJ29</f>
        <v>0</v>
      </c>
      <c r="CN29" s="801">
        <f aca="true" t="shared" si="42" ref="CN29:CN41">BM29+BP29+BS29+BV29+BY29+CB29+CE29+CH29+CK29</f>
        <v>0</v>
      </c>
      <c r="CO29" s="753">
        <f aca="true" t="shared" si="43" ref="CO29:CO41">BN29+BQ29+BT29+BW29+BZ29+CC29+CF29+CI29+CL29</f>
        <v>0</v>
      </c>
      <c r="CP29" s="740">
        <f t="shared" si="3"/>
        <v>20000</v>
      </c>
      <c r="CQ29" s="801">
        <f t="shared" si="4"/>
        <v>20000</v>
      </c>
      <c r="CR29" s="753">
        <f t="shared" si="5"/>
        <v>25195.575</v>
      </c>
      <c r="CS29" s="740"/>
      <c r="CT29" s="801"/>
      <c r="CU29" s="753"/>
      <c r="CV29" s="740"/>
      <c r="CW29" s="801"/>
      <c r="CX29" s="753"/>
      <c r="CY29" s="740"/>
      <c r="CZ29" s="801"/>
      <c r="DA29" s="753"/>
      <c r="DB29" s="740"/>
      <c r="DC29" s="801"/>
      <c r="DD29" s="753"/>
      <c r="DE29" s="740">
        <f aca="true" t="shared" si="44" ref="DE29:DE41">CS29+CV29+CY29+DB29</f>
        <v>0</v>
      </c>
      <c r="DF29" s="801">
        <f aca="true" t="shared" si="45" ref="DF29:DF41">CT29+CW29+CZ29+DC29</f>
        <v>0</v>
      </c>
      <c r="DG29" s="753">
        <f aca="true" t="shared" si="46" ref="DG29:DG41">CU29+CX29+DA29+DD29</f>
        <v>0</v>
      </c>
      <c r="DH29" s="740"/>
      <c r="DI29" s="801"/>
      <c r="DJ29" s="753"/>
      <c r="DK29" s="740"/>
      <c r="DL29" s="801"/>
      <c r="DM29" s="753"/>
      <c r="DN29" s="740">
        <f aca="true" t="shared" si="47" ref="DN29:DN40">CP29+DE29+DH29+DK29</f>
        <v>20000</v>
      </c>
      <c r="DO29" s="801">
        <f aca="true" t="shared" si="48" ref="DO29:DO40">CQ29+DF29+DI29+DL29</f>
        <v>20000</v>
      </c>
      <c r="DP29" s="753">
        <f aca="true" t="shared" si="49" ref="DP29:DP40">CR29+DG29+DJ29+DM29</f>
        <v>25195.575</v>
      </c>
      <c r="DQ29" s="823">
        <f t="shared" si="32"/>
        <v>125.977875</v>
      </c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</row>
    <row r="30" spans="1:218" ht="12.75" customHeight="1">
      <c r="A30" s="713"/>
      <c r="B30" s="715" t="s">
        <v>1108</v>
      </c>
      <c r="C30" s="1962">
        <v>92411</v>
      </c>
      <c r="D30" s="740"/>
      <c r="E30" s="801"/>
      <c r="F30" s="753"/>
      <c r="G30" s="740"/>
      <c r="H30" s="801"/>
      <c r="I30" s="753"/>
      <c r="J30" s="740"/>
      <c r="K30" s="801"/>
      <c r="L30" s="753"/>
      <c r="M30" s="740"/>
      <c r="N30" s="801"/>
      <c r="O30" s="753"/>
      <c r="P30" s="740"/>
      <c r="Q30" s="801"/>
      <c r="R30" s="753"/>
      <c r="S30" s="740"/>
      <c r="T30" s="801"/>
      <c r="U30" s="753"/>
      <c r="V30" s="740"/>
      <c r="W30" s="801"/>
      <c r="X30" s="753"/>
      <c r="Y30" s="740"/>
      <c r="Z30" s="801"/>
      <c r="AA30" s="753"/>
      <c r="AB30" s="740"/>
      <c r="AC30" s="801"/>
      <c r="AD30" s="753"/>
      <c r="AE30" s="740"/>
      <c r="AF30" s="801"/>
      <c r="AG30" s="753"/>
      <c r="AH30" s="740"/>
      <c r="AI30" s="801"/>
      <c r="AJ30" s="753"/>
      <c r="AK30" s="740"/>
      <c r="AL30" s="801"/>
      <c r="AM30" s="753"/>
      <c r="AN30" s="740"/>
      <c r="AO30" s="801"/>
      <c r="AP30" s="753"/>
      <c r="AQ30" s="740"/>
      <c r="AR30" s="801"/>
      <c r="AS30" s="753"/>
      <c r="AT30" s="740"/>
      <c r="AU30" s="801"/>
      <c r="AV30" s="753"/>
      <c r="AW30" s="740"/>
      <c r="AX30" s="801"/>
      <c r="AY30" s="753"/>
      <c r="AZ30" s="740"/>
      <c r="BA30" s="801"/>
      <c r="BB30" s="753"/>
      <c r="BC30" s="740"/>
      <c r="BD30" s="801"/>
      <c r="BE30" s="753"/>
      <c r="BF30" s="740"/>
      <c r="BG30" s="801"/>
      <c r="BH30" s="753"/>
      <c r="BI30" s="740">
        <f t="shared" si="38"/>
        <v>0</v>
      </c>
      <c r="BJ30" s="801">
        <f t="shared" si="39"/>
        <v>0</v>
      </c>
      <c r="BK30" s="753">
        <f t="shared" si="40"/>
        <v>0</v>
      </c>
      <c r="BL30" s="740"/>
      <c r="BM30" s="801"/>
      <c r="BN30" s="753"/>
      <c r="BO30" s="740"/>
      <c r="BP30" s="801"/>
      <c r="BQ30" s="753"/>
      <c r="BR30" s="740"/>
      <c r="BS30" s="801"/>
      <c r="BT30" s="753"/>
      <c r="BU30" s="740"/>
      <c r="BV30" s="801"/>
      <c r="BW30" s="753"/>
      <c r="BX30" s="740"/>
      <c r="BY30" s="801"/>
      <c r="BZ30" s="753"/>
      <c r="CA30" s="740"/>
      <c r="CB30" s="801"/>
      <c r="CC30" s="753"/>
      <c r="CD30" s="740"/>
      <c r="CE30" s="801"/>
      <c r="CF30" s="753"/>
      <c r="CG30" s="740"/>
      <c r="CH30" s="801"/>
      <c r="CI30" s="753"/>
      <c r="CJ30" s="740"/>
      <c r="CK30" s="801"/>
      <c r="CL30" s="753"/>
      <c r="CM30" s="740">
        <f t="shared" si="41"/>
        <v>0</v>
      </c>
      <c r="CN30" s="801">
        <f t="shared" si="42"/>
        <v>0</v>
      </c>
      <c r="CO30" s="753">
        <f t="shared" si="43"/>
        <v>0</v>
      </c>
      <c r="CP30" s="740">
        <f t="shared" si="3"/>
        <v>0</v>
      </c>
      <c r="CQ30" s="801">
        <f t="shared" si="4"/>
        <v>0</v>
      </c>
      <c r="CR30" s="753">
        <f t="shared" si="5"/>
        <v>0</v>
      </c>
      <c r="CS30" s="740"/>
      <c r="CT30" s="801"/>
      <c r="CU30" s="753"/>
      <c r="CV30" s="740"/>
      <c r="CW30" s="801"/>
      <c r="CX30" s="753"/>
      <c r="CY30" s="740"/>
      <c r="CZ30" s="801"/>
      <c r="DA30" s="753"/>
      <c r="DB30" s="740"/>
      <c r="DC30" s="801"/>
      <c r="DD30" s="753"/>
      <c r="DE30" s="740">
        <f t="shared" si="44"/>
        <v>0</v>
      </c>
      <c r="DF30" s="801">
        <f t="shared" si="45"/>
        <v>0</v>
      </c>
      <c r="DG30" s="753">
        <f t="shared" si="46"/>
        <v>0</v>
      </c>
      <c r="DH30" s="740"/>
      <c r="DI30" s="801"/>
      <c r="DJ30" s="753"/>
      <c r="DK30" s="740"/>
      <c r="DL30" s="801"/>
      <c r="DM30" s="753"/>
      <c r="DN30" s="740">
        <f t="shared" si="47"/>
        <v>0</v>
      </c>
      <c r="DO30" s="801">
        <f t="shared" si="48"/>
        <v>0</v>
      </c>
      <c r="DP30" s="753">
        <f t="shared" si="49"/>
        <v>0</v>
      </c>
      <c r="DQ30" s="823">
        <v>0</v>
      </c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</row>
    <row r="31" spans="1:232" s="148" customFormat="1" ht="12.75" customHeight="1">
      <c r="A31" s="713"/>
      <c r="B31" s="715" t="s">
        <v>492</v>
      </c>
      <c r="C31" s="1962">
        <v>92414</v>
      </c>
      <c r="D31" s="740"/>
      <c r="E31" s="801"/>
      <c r="F31" s="753"/>
      <c r="G31" s="740"/>
      <c r="H31" s="801"/>
      <c r="I31" s="753"/>
      <c r="J31" s="740"/>
      <c r="K31" s="801"/>
      <c r="L31" s="753"/>
      <c r="M31" s="740"/>
      <c r="N31" s="801"/>
      <c r="O31" s="753"/>
      <c r="P31" s="740"/>
      <c r="Q31" s="801"/>
      <c r="R31" s="753"/>
      <c r="S31" s="740"/>
      <c r="T31" s="801"/>
      <c r="U31" s="753"/>
      <c r="V31" s="740"/>
      <c r="W31" s="801"/>
      <c r="X31" s="753"/>
      <c r="Y31" s="740"/>
      <c r="Z31" s="801"/>
      <c r="AA31" s="753"/>
      <c r="AB31" s="740"/>
      <c r="AC31" s="801"/>
      <c r="AD31" s="753"/>
      <c r="AE31" s="740"/>
      <c r="AF31" s="801"/>
      <c r="AG31" s="753"/>
      <c r="AH31" s="740"/>
      <c r="AI31" s="801"/>
      <c r="AJ31" s="753"/>
      <c r="AK31" s="740"/>
      <c r="AL31" s="801"/>
      <c r="AM31" s="753"/>
      <c r="AN31" s="740"/>
      <c r="AO31" s="801"/>
      <c r="AP31" s="753"/>
      <c r="AQ31" s="740"/>
      <c r="AR31" s="801"/>
      <c r="AS31" s="753"/>
      <c r="AT31" s="740"/>
      <c r="AU31" s="801"/>
      <c r="AV31" s="753"/>
      <c r="AW31" s="740"/>
      <c r="AX31" s="801"/>
      <c r="AY31" s="753"/>
      <c r="AZ31" s="740"/>
      <c r="BA31" s="801"/>
      <c r="BB31" s="753"/>
      <c r="BC31" s="740"/>
      <c r="BD31" s="801"/>
      <c r="BE31" s="753"/>
      <c r="BF31" s="740"/>
      <c r="BG31" s="801"/>
      <c r="BH31" s="753"/>
      <c r="BI31" s="740">
        <f t="shared" si="38"/>
        <v>0</v>
      </c>
      <c r="BJ31" s="801">
        <f t="shared" si="39"/>
        <v>0</v>
      </c>
      <c r="BK31" s="753">
        <f t="shared" si="40"/>
        <v>0</v>
      </c>
      <c r="BL31" s="740"/>
      <c r="BM31" s="801"/>
      <c r="BN31" s="753"/>
      <c r="BO31" s="740"/>
      <c r="BP31" s="801"/>
      <c r="BQ31" s="753"/>
      <c r="BR31" s="740"/>
      <c r="BS31" s="801"/>
      <c r="BT31" s="753"/>
      <c r="BU31" s="740"/>
      <c r="BV31" s="801"/>
      <c r="BW31" s="753"/>
      <c r="BX31" s="740"/>
      <c r="BY31" s="801"/>
      <c r="BZ31" s="753"/>
      <c r="CA31" s="740"/>
      <c r="CB31" s="801"/>
      <c r="CC31" s="753"/>
      <c r="CD31" s="740"/>
      <c r="CE31" s="801"/>
      <c r="CF31" s="753"/>
      <c r="CG31" s="740"/>
      <c r="CH31" s="801"/>
      <c r="CI31" s="753"/>
      <c r="CJ31" s="740"/>
      <c r="CK31" s="801"/>
      <c r="CL31" s="753"/>
      <c r="CM31" s="740">
        <f t="shared" si="41"/>
        <v>0</v>
      </c>
      <c r="CN31" s="801">
        <f t="shared" si="42"/>
        <v>0</v>
      </c>
      <c r="CO31" s="753">
        <f t="shared" si="43"/>
        <v>0</v>
      </c>
      <c r="CP31" s="740">
        <f t="shared" si="3"/>
        <v>0</v>
      </c>
      <c r="CQ31" s="801">
        <f t="shared" si="4"/>
        <v>0</v>
      </c>
      <c r="CR31" s="753">
        <f t="shared" si="5"/>
        <v>0</v>
      </c>
      <c r="CS31" s="740"/>
      <c r="CT31" s="801"/>
      <c r="CU31" s="753"/>
      <c r="CV31" s="740"/>
      <c r="CW31" s="801"/>
      <c r="CX31" s="753"/>
      <c r="CY31" s="740"/>
      <c r="CZ31" s="801"/>
      <c r="DA31" s="753"/>
      <c r="DB31" s="740"/>
      <c r="DC31" s="801"/>
      <c r="DD31" s="753"/>
      <c r="DE31" s="740">
        <f t="shared" si="44"/>
        <v>0</v>
      </c>
      <c r="DF31" s="801">
        <f t="shared" si="45"/>
        <v>0</v>
      </c>
      <c r="DG31" s="753">
        <f t="shared" si="46"/>
        <v>0</v>
      </c>
      <c r="DH31" s="740"/>
      <c r="DI31" s="801"/>
      <c r="DJ31" s="753"/>
      <c r="DK31" s="740"/>
      <c r="DL31" s="801"/>
      <c r="DM31" s="753"/>
      <c r="DN31" s="740">
        <f t="shared" si="47"/>
        <v>0</v>
      </c>
      <c r="DO31" s="801">
        <f t="shared" si="48"/>
        <v>0</v>
      </c>
      <c r="DP31" s="753">
        <f t="shared" si="49"/>
        <v>0</v>
      </c>
      <c r="DQ31" s="823">
        <v>0</v>
      </c>
      <c r="DR31" s="643"/>
      <c r="DS31" s="643"/>
      <c r="DT31" s="643"/>
      <c r="DU31" s="643"/>
      <c r="DV31" s="643"/>
      <c r="DW31" s="643"/>
      <c r="DX31" s="643"/>
      <c r="DY31" s="643"/>
      <c r="DZ31" s="643"/>
      <c r="EA31" s="643"/>
      <c r="EB31" s="643"/>
      <c r="EC31" s="643"/>
      <c r="ED31" s="643"/>
      <c r="EE31" s="643"/>
      <c r="EF31" s="643"/>
      <c r="EG31" s="643"/>
      <c r="EH31" s="643"/>
      <c r="EI31" s="643"/>
      <c r="EJ31" s="643"/>
      <c r="EK31" s="643"/>
      <c r="EL31" s="643"/>
      <c r="EM31" s="643"/>
      <c r="EN31" s="643"/>
      <c r="EO31" s="643"/>
      <c r="EP31" s="643"/>
      <c r="EQ31" s="643"/>
      <c r="ER31" s="643"/>
      <c r="ES31" s="643"/>
      <c r="ET31" s="643"/>
      <c r="EU31" s="643"/>
      <c r="EV31" s="643"/>
      <c r="EW31" s="643"/>
      <c r="EX31" s="643"/>
      <c r="EY31" s="643"/>
      <c r="EZ31" s="643"/>
      <c r="FA31" s="643"/>
      <c r="FB31" s="643"/>
      <c r="FC31" s="643"/>
      <c r="FD31" s="643"/>
      <c r="FE31" s="643"/>
      <c r="FF31" s="643"/>
      <c r="FG31" s="643"/>
      <c r="FH31" s="643"/>
      <c r="FI31" s="643"/>
      <c r="FJ31" s="643"/>
      <c r="FK31" s="643"/>
      <c r="FL31" s="643"/>
      <c r="FM31" s="643"/>
      <c r="FN31" s="643"/>
      <c r="FO31" s="643"/>
      <c r="FP31" s="643"/>
      <c r="FQ31" s="643"/>
      <c r="FR31" s="643"/>
      <c r="FS31" s="643"/>
      <c r="FT31" s="643"/>
      <c r="FU31" s="643"/>
      <c r="FV31" s="643"/>
      <c r="FW31" s="643"/>
      <c r="FX31" s="643"/>
      <c r="FY31" s="643"/>
      <c r="FZ31" s="643"/>
      <c r="GA31" s="643"/>
      <c r="GB31" s="643"/>
      <c r="GC31" s="643"/>
      <c r="GD31" s="643"/>
      <c r="GE31" s="643"/>
      <c r="GF31" s="643"/>
      <c r="GG31" s="643"/>
      <c r="GH31" s="643"/>
      <c r="GI31" s="643"/>
      <c r="GJ31" s="643"/>
      <c r="GK31" s="643"/>
      <c r="GL31" s="643"/>
      <c r="GM31" s="643"/>
      <c r="GN31" s="643"/>
      <c r="GO31" s="643"/>
      <c r="GP31" s="643"/>
      <c r="GQ31" s="643"/>
      <c r="GR31" s="643"/>
      <c r="GS31" s="643"/>
      <c r="GT31" s="643"/>
      <c r="GU31" s="643"/>
      <c r="GV31" s="643"/>
      <c r="GW31" s="643"/>
      <c r="GX31" s="643"/>
      <c r="GY31" s="643"/>
      <c r="GZ31" s="643"/>
      <c r="HA31" s="643"/>
      <c r="HB31" s="643"/>
      <c r="HC31" s="643"/>
      <c r="HD31" s="643"/>
      <c r="HE31" s="643"/>
      <c r="HF31" s="643"/>
      <c r="HG31" s="643"/>
      <c r="HH31" s="643"/>
      <c r="HI31" s="643"/>
      <c r="HJ31" s="643"/>
      <c r="HK31" s="643"/>
      <c r="HL31" s="643"/>
      <c r="HM31" s="643"/>
      <c r="HN31" s="643"/>
      <c r="HO31" s="643"/>
      <c r="HP31" s="643"/>
      <c r="HQ31" s="643"/>
      <c r="HR31" s="643"/>
      <c r="HS31" s="643"/>
      <c r="HT31" s="643"/>
      <c r="HU31" s="643"/>
      <c r="HV31" s="643"/>
      <c r="HW31" s="643"/>
      <c r="HX31" s="643"/>
    </row>
    <row r="32" spans="1:218" ht="12.75" customHeight="1">
      <c r="A32" s="713"/>
      <c r="B32" s="715" t="s">
        <v>1105</v>
      </c>
      <c r="C32" s="1962">
        <v>9261</v>
      </c>
      <c r="D32" s="740"/>
      <c r="E32" s="801"/>
      <c r="F32" s="753"/>
      <c r="G32" s="740"/>
      <c r="H32" s="801"/>
      <c r="I32" s="753"/>
      <c r="J32" s="740"/>
      <c r="K32" s="801"/>
      <c r="L32" s="753"/>
      <c r="M32" s="740"/>
      <c r="N32" s="801"/>
      <c r="O32" s="753"/>
      <c r="P32" s="740"/>
      <c r="Q32" s="801"/>
      <c r="R32" s="753"/>
      <c r="S32" s="740"/>
      <c r="T32" s="801"/>
      <c r="U32" s="753"/>
      <c r="V32" s="740"/>
      <c r="W32" s="801"/>
      <c r="X32" s="753"/>
      <c r="Y32" s="740"/>
      <c r="Z32" s="801"/>
      <c r="AA32" s="753"/>
      <c r="AB32" s="740"/>
      <c r="AC32" s="801"/>
      <c r="AD32" s="753"/>
      <c r="AE32" s="740"/>
      <c r="AF32" s="801"/>
      <c r="AG32" s="753"/>
      <c r="AH32" s="740"/>
      <c r="AI32" s="801"/>
      <c r="AJ32" s="753"/>
      <c r="AK32" s="740"/>
      <c r="AL32" s="801"/>
      <c r="AM32" s="753"/>
      <c r="AN32" s="740"/>
      <c r="AO32" s="801"/>
      <c r="AP32" s="753"/>
      <c r="AQ32" s="740"/>
      <c r="AR32" s="801"/>
      <c r="AS32" s="753"/>
      <c r="AT32" s="740"/>
      <c r="AU32" s="801"/>
      <c r="AV32" s="753"/>
      <c r="AW32" s="740"/>
      <c r="AX32" s="801"/>
      <c r="AY32" s="753"/>
      <c r="AZ32" s="740"/>
      <c r="BA32" s="801"/>
      <c r="BB32" s="753"/>
      <c r="BC32" s="740">
        <v>5000</v>
      </c>
      <c r="BD32" s="801">
        <v>5000</v>
      </c>
      <c r="BE32" s="753">
        <v>4470.302</v>
      </c>
      <c r="BF32" s="740"/>
      <c r="BG32" s="801"/>
      <c r="BH32" s="753"/>
      <c r="BI32" s="740">
        <f t="shared" si="38"/>
        <v>5000</v>
      </c>
      <c r="BJ32" s="801">
        <f t="shared" si="39"/>
        <v>5000</v>
      </c>
      <c r="BK32" s="753">
        <f t="shared" si="40"/>
        <v>4470.302</v>
      </c>
      <c r="BL32" s="740"/>
      <c r="BM32" s="801"/>
      <c r="BN32" s="753"/>
      <c r="BO32" s="740"/>
      <c r="BP32" s="801"/>
      <c r="BQ32" s="753"/>
      <c r="BR32" s="740"/>
      <c r="BS32" s="801"/>
      <c r="BT32" s="753"/>
      <c r="BU32" s="740"/>
      <c r="BV32" s="801"/>
      <c r="BW32" s="753"/>
      <c r="BX32" s="740"/>
      <c r="BY32" s="801"/>
      <c r="BZ32" s="753"/>
      <c r="CA32" s="740"/>
      <c r="CB32" s="801"/>
      <c r="CC32" s="753"/>
      <c r="CD32" s="740"/>
      <c r="CE32" s="801"/>
      <c r="CF32" s="753"/>
      <c r="CG32" s="740"/>
      <c r="CH32" s="801"/>
      <c r="CI32" s="753"/>
      <c r="CJ32" s="740"/>
      <c r="CK32" s="801"/>
      <c r="CL32" s="753"/>
      <c r="CM32" s="740">
        <f t="shared" si="41"/>
        <v>0</v>
      </c>
      <c r="CN32" s="801">
        <f t="shared" si="42"/>
        <v>0</v>
      </c>
      <c r="CO32" s="753">
        <f t="shared" si="43"/>
        <v>0</v>
      </c>
      <c r="CP32" s="740">
        <f t="shared" si="3"/>
        <v>5000</v>
      </c>
      <c r="CQ32" s="801">
        <f t="shared" si="4"/>
        <v>5000</v>
      </c>
      <c r="CR32" s="753">
        <f t="shared" si="5"/>
        <v>4470.302</v>
      </c>
      <c r="CS32" s="740"/>
      <c r="CT32" s="801"/>
      <c r="CU32" s="753"/>
      <c r="CV32" s="740"/>
      <c r="CW32" s="801"/>
      <c r="CX32" s="753"/>
      <c r="CY32" s="740"/>
      <c r="CZ32" s="801"/>
      <c r="DA32" s="753"/>
      <c r="DB32" s="740"/>
      <c r="DC32" s="801"/>
      <c r="DD32" s="753"/>
      <c r="DE32" s="740">
        <f t="shared" si="44"/>
        <v>0</v>
      </c>
      <c r="DF32" s="801">
        <f t="shared" si="45"/>
        <v>0</v>
      </c>
      <c r="DG32" s="753">
        <f t="shared" si="46"/>
        <v>0</v>
      </c>
      <c r="DH32" s="740"/>
      <c r="DI32" s="801"/>
      <c r="DJ32" s="753"/>
      <c r="DK32" s="740"/>
      <c r="DL32" s="801"/>
      <c r="DM32" s="753"/>
      <c r="DN32" s="740">
        <f t="shared" si="47"/>
        <v>5000</v>
      </c>
      <c r="DO32" s="801">
        <f t="shared" si="48"/>
        <v>5000</v>
      </c>
      <c r="DP32" s="753">
        <f t="shared" si="49"/>
        <v>4470.302</v>
      </c>
      <c r="DQ32" s="823">
        <f t="shared" si="32"/>
        <v>89.40604</v>
      </c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</row>
    <row r="33" spans="1:218" ht="12.75" customHeight="1">
      <c r="A33" s="713"/>
      <c r="B33" s="715" t="s">
        <v>320</v>
      </c>
      <c r="C33" s="1962">
        <v>9291302</v>
      </c>
      <c r="D33" s="740"/>
      <c r="E33" s="801"/>
      <c r="F33" s="753"/>
      <c r="G33" s="740"/>
      <c r="H33" s="801"/>
      <c r="I33" s="753"/>
      <c r="J33" s="740"/>
      <c r="K33" s="801"/>
      <c r="L33" s="753"/>
      <c r="M33" s="740"/>
      <c r="N33" s="801"/>
      <c r="O33" s="753"/>
      <c r="P33" s="740"/>
      <c r="Q33" s="801"/>
      <c r="R33" s="753"/>
      <c r="S33" s="740"/>
      <c r="T33" s="801"/>
      <c r="U33" s="753"/>
      <c r="V33" s="740"/>
      <c r="W33" s="801"/>
      <c r="X33" s="753"/>
      <c r="Y33" s="740"/>
      <c r="Z33" s="801"/>
      <c r="AA33" s="753"/>
      <c r="AB33" s="740"/>
      <c r="AC33" s="801"/>
      <c r="AD33" s="753"/>
      <c r="AE33" s="740"/>
      <c r="AF33" s="801"/>
      <c r="AG33" s="753"/>
      <c r="AH33" s="740">
        <v>2000</v>
      </c>
      <c r="AI33" s="801">
        <v>2000</v>
      </c>
      <c r="AJ33" s="753">
        <v>1490</v>
      </c>
      <c r="AK33" s="740"/>
      <c r="AL33" s="801"/>
      <c r="AM33" s="753"/>
      <c r="AN33" s="740"/>
      <c r="AO33" s="801"/>
      <c r="AP33" s="753"/>
      <c r="AQ33" s="740"/>
      <c r="AR33" s="801"/>
      <c r="AS33" s="753"/>
      <c r="AT33" s="740"/>
      <c r="AU33" s="801"/>
      <c r="AV33" s="753"/>
      <c r="AW33" s="740"/>
      <c r="AX33" s="801"/>
      <c r="AY33" s="753"/>
      <c r="AZ33" s="740"/>
      <c r="BA33" s="801"/>
      <c r="BB33" s="753"/>
      <c r="BC33" s="740"/>
      <c r="BD33" s="801"/>
      <c r="BE33" s="753"/>
      <c r="BF33" s="740"/>
      <c r="BG33" s="801"/>
      <c r="BH33" s="753"/>
      <c r="BI33" s="740">
        <f t="shared" si="38"/>
        <v>2000</v>
      </c>
      <c r="BJ33" s="801">
        <f t="shared" si="39"/>
        <v>2000</v>
      </c>
      <c r="BK33" s="753">
        <f t="shared" si="40"/>
        <v>1490</v>
      </c>
      <c r="BL33" s="740"/>
      <c r="BM33" s="801"/>
      <c r="BN33" s="753"/>
      <c r="BO33" s="740"/>
      <c r="BP33" s="801"/>
      <c r="BQ33" s="753"/>
      <c r="BR33" s="740"/>
      <c r="BS33" s="801"/>
      <c r="BT33" s="753"/>
      <c r="BU33" s="740"/>
      <c r="BV33" s="801"/>
      <c r="BW33" s="753"/>
      <c r="BX33" s="740"/>
      <c r="BY33" s="801"/>
      <c r="BZ33" s="753"/>
      <c r="CA33" s="740"/>
      <c r="CB33" s="801"/>
      <c r="CC33" s="753"/>
      <c r="CD33" s="740"/>
      <c r="CE33" s="801"/>
      <c r="CF33" s="753"/>
      <c r="CG33" s="740"/>
      <c r="CH33" s="801"/>
      <c r="CI33" s="753"/>
      <c r="CJ33" s="740"/>
      <c r="CK33" s="801"/>
      <c r="CL33" s="753"/>
      <c r="CM33" s="740">
        <f t="shared" si="41"/>
        <v>0</v>
      </c>
      <c r="CN33" s="801">
        <f t="shared" si="42"/>
        <v>0</v>
      </c>
      <c r="CO33" s="753">
        <f t="shared" si="43"/>
        <v>0</v>
      </c>
      <c r="CP33" s="740">
        <f t="shared" si="3"/>
        <v>2000</v>
      </c>
      <c r="CQ33" s="801">
        <f t="shared" si="4"/>
        <v>2000</v>
      </c>
      <c r="CR33" s="753">
        <f t="shared" si="5"/>
        <v>1490</v>
      </c>
      <c r="CS33" s="740"/>
      <c r="CT33" s="801"/>
      <c r="CU33" s="753"/>
      <c r="CV33" s="740"/>
      <c r="CW33" s="801"/>
      <c r="CX33" s="753"/>
      <c r="CY33" s="740"/>
      <c r="CZ33" s="801"/>
      <c r="DA33" s="753"/>
      <c r="DB33" s="740"/>
      <c r="DC33" s="801"/>
      <c r="DD33" s="753"/>
      <c r="DE33" s="740">
        <f t="shared" si="44"/>
        <v>0</v>
      </c>
      <c r="DF33" s="801">
        <f t="shared" si="45"/>
        <v>0</v>
      </c>
      <c r="DG33" s="753">
        <f t="shared" si="46"/>
        <v>0</v>
      </c>
      <c r="DH33" s="740"/>
      <c r="DI33" s="801"/>
      <c r="DJ33" s="753"/>
      <c r="DK33" s="740"/>
      <c r="DL33" s="801"/>
      <c r="DM33" s="753"/>
      <c r="DN33" s="740">
        <f t="shared" si="47"/>
        <v>2000</v>
      </c>
      <c r="DO33" s="801">
        <f t="shared" si="48"/>
        <v>2000</v>
      </c>
      <c r="DP33" s="753">
        <f t="shared" si="49"/>
        <v>1490</v>
      </c>
      <c r="DQ33" s="823">
        <f t="shared" si="32"/>
        <v>74.5</v>
      </c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</row>
    <row r="34" spans="1:218" ht="12.75" customHeight="1">
      <c r="A34" s="713"/>
      <c r="B34" s="715" t="s">
        <v>300</v>
      </c>
      <c r="C34" s="1962">
        <v>9291301</v>
      </c>
      <c r="D34" s="740"/>
      <c r="E34" s="801"/>
      <c r="F34" s="753"/>
      <c r="G34" s="740"/>
      <c r="H34" s="801"/>
      <c r="I34" s="753"/>
      <c r="J34" s="740">
        <v>40000</v>
      </c>
      <c r="K34" s="801">
        <v>35550</v>
      </c>
      <c r="L34" s="753">
        <v>31161</v>
      </c>
      <c r="M34" s="740"/>
      <c r="N34" s="801"/>
      <c r="O34" s="753"/>
      <c r="P34" s="740"/>
      <c r="Q34" s="801"/>
      <c r="R34" s="753"/>
      <c r="S34" s="740"/>
      <c r="T34" s="801"/>
      <c r="U34" s="753"/>
      <c r="V34" s="740"/>
      <c r="W34" s="801"/>
      <c r="X34" s="753"/>
      <c r="Y34" s="740"/>
      <c r="Z34" s="801"/>
      <c r="AA34" s="753"/>
      <c r="AB34" s="740"/>
      <c r="AC34" s="801"/>
      <c r="AD34" s="753"/>
      <c r="AE34" s="740"/>
      <c r="AF34" s="801"/>
      <c r="AG34" s="753"/>
      <c r="AH34" s="740"/>
      <c r="AI34" s="801"/>
      <c r="AJ34" s="753"/>
      <c r="AK34" s="740"/>
      <c r="AL34" s="801"/>
      <c r="AM34" s="753"/>
      <c r="AN34" s="740"/>
      <c r="AO34" s="801"/>
      <c r="AP34" s="753"/>
      <c r="AQ34" s="740"/>
      <c r="AR34" s="801"/>
      <c r="AS34" s="753"/>
      <c r="AT34" s="740"/>
      <c r="AU34" s="801"/>
      <c r="AV34" s="753"/>
      <c r="AW34" s="740"/>
      <c r="AX34" s="801"/>
      <c r="AY34" s="753"/>
      <c r="AZ34" s="740"/>
      <c r="BA34" s="801"/>
      <c r="BB34" s="753"/>
      <c r="BC34" s="740"/>
      <c r="BD34" s="801"/>
      <c r="BE34" s="753"/>
      <c r="BF34" s="740"/>
      <c r="BG34" s="801"/>
      <c r="BH34" s="753"/>
      <c r="BI34" s="740">
        <f t="shared" si="38"/>
        <v>40000</v>
      </c>
      <c r="BJ34" s="801">
        <f t="shared" si="39"/>
        <v>35550</v>
      </c>
      <c r="BK34" s="753">
        <f t="shared" si="40"/>
        <v>31161</v>
      </c>
      <c r="BL34" s="740"/>
      <c r="BM34" s="801"/>
      <c r="BN34" s="753"/>
      <c r="BO34" s="740"/>
      <c r="BP34" s="801"/>
      <c r="BQ34" s="753"/>
      <c r="BR34" s="740"/>
      <c r="BS34" s="801"/>
      <c r="BT34" s="753"/>
      <c r="BU34" s="740"/>
      <c r="BV34" s="801"/>
      <c r="BW34" s="753"/>
      <c r="BX34" s="740"/>
      <c r="BY34" s="801"/>
      <c r="BZ34" s="753"/>
      <c r="CA34" s="740"/>
      <c r="CB34" s="801"/>
      <c r="CC34" s="753"/>
      <c r="CD34" s="740"/>
      <c r="CE34" s="801"/>
      <c r="CF34" s="753"/>
      <c r="CG34" s="740"/>
      <c r="CH34" s="801"/>
      <c r="CI34" s="753"/>
      <c r="CJ34" s="740"/>
      <c r="CK34" s="801"/>
      <c r="CL34" s="753"/>
      <c r="CM34" s="740">
        <f t="shared" si="41"/>
        <v>0</v>
      </c>
      <c r="CN34" s="801">
        <f t="shared" si="42"/>
        <v>0</v>
      </c>
      <c r="CO34" s="753">
        <f t="shared" si="43"/>
        <v>0</v>
      </c>
      <c r="CP34" s="740">
        <f t="shared" si="3"/>
        <v>40000</v>
      </c>
      <c r="CQ34" s="801">
        <f t="shared" si="4"/>
        <v>35550</v>
      </c>
      <c r="CR34" s="753">
        <f t="shared" si="5"/>
        <v>31161</v>
      </c>
      <c r="CS34" s="740"/>
      <c r="CT34" s="801"/>
      <c r="CU34" s="753"/>
      <c r="CV34" s="740"/>
      <c r="CW34" s="801"/>
      <c r="CX34" s="753"/>
      <c r="CY34" s="740"/>
      <c r="CZ34" s="801"/>
      <c r="DA34" s="753"/>
      <c r="DB34" s="740"/>
      <c r="DC34" s="801"/>
      <c r="DD34" s="753"/>
      <c r="DE34" s="740">
        <f t="shared" si="44"/>
        <v>0</v>
      </c>
      <c r="DF34" s="801">
        <f t="shared" si="45"/>
        <v>0</v>
      </c>
      <c r="DG34" s="753">
        <f t="shared" si="46"/>
        <v>0</v>
      </c>
      <c r="DH34" s="740"/>
      <c r="DI34" s="801"/>
      <c r="DJ34" s="753"/>
      <c r="DK34" s="740"/>
      <c r="DL34" s="801"/>
      <c r="DM34" s="753"/>
      <c r="DN34" s="740">
        <f t="shared" si="47"/>
        <v>40000</v>
      </c>
      <c r="DO34" s="801">
        <f t="shared" si="48"/>
        <v>35550</v>
      </c>
      <c r="DP34" s="753">
        <f t="shared" si="49"/>
        <v>31161</v>
      </c>
      <c r="DQ34" s="823">
        <f t="shared" si="32"/>
        <v>87.65400843881856</v>
      </c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</row>
    <row r="35" spans="1:218" ht="12.75" customHeight="1">
      <c r="A35" s="713"/>
      <c r="B35" s="715" t="s">
        <v>1110</v>
      </c>
      <c r="C35" s="1962">
        <v>9291308</v>
      </c>
      <c r="D35" s="740"/>
      <c r="E35" s="801"/>
      <c r="F35" s="753"/>
      <c r="G35" s="740"/>
      <c r="H35" s="801"/>
      <c r="I35" s="753"/>
      <c r="J35" s="740"/>
      <c r="K35" s="801"/>
      <c r="L35" s="753"/>
      <c r="M35" s="740"/>
      <c r="N35" s="801"/>
      <c r="O35" s="753"/>
      <c r="P35" s="740"/>
      <c r="Q35" s="801"/>
      <c r="R35" s="753"/>
      <c r="S35" s="740"/>
      <c r="T35" s="801"/>
      <c r="U35" s="753"/>
      <c r="V35" s="740"/>
      <c r="W35" s="801"/>
      <c r="X35" s="753"/>
      <c r="Y35" s="740"/>
      <c r="Z35" s="801"/>
      <c r="AA35" s="753"/>
      <c r="AB35" s="740"/>
      <c r="AC35" s="801"/>
      <c r="AD35" s="753"/>
      <c r="AE35" s="740"/>
      <c r="AF35" s="801"/>
      <c r="AG35" s="753"/>
      <c r="AH35" s="740"/>
      <c r="AI35" s="801"/>
      <c r="AJ35" s="753"/>
      <c r="AK35" s="740"/>
      <c r="AL35" s="801"/>
      <c r="AM35" s="753"/>
      <c r="AN35" s="740"/>
      <c r="AO35" s="801"/>
      <c r="AP35" s="753"/>
      <c r="AQ35" s="740"/>
      <c r="AR35" s="801"/>
      <c r="AS35" s="753"/>
      <c r="AT35" s="740"/>
      <c r="AU35" s="801"/>
      <c r="AV35" s="753"/>
      <c r="AW35" s="740"/>
      <c r="AX35" s="801"/>
      <c r="AY35" s="753"/>
      <c r="AZ35" s="740"/>
      <c r="BA35" s="801"/>
      <c r="BB35" s="753"/>
      <c r="BC35" s="740"/>
      <c r="BD35" s="801"/>
      <c r="BE35" s="753"/>
      <c r="BF35" s="740"/>
      <c r="BG35" s="801"/>
      <c r="BH35" s="753"/>
      <c r="BI35" s="740">
        <f t="shared" si="38"/>
        <v>0</v>
      </c>
      <c r="BJ35" s="801">
        <f t="shared" si="39"/>
        <v>0</v>
      </c>
      <c r="BK35" s="753">
        <f t="shared" si="40"/>
        <v>0</v>
      </c>
      <c r="BL35" s="740"/>
      <c r="BM35" s="801"/>
      <c r="BN35" s="753"/>
      <c r="BO35" s="740"/>
      <c r="BP35" s="801"/>
      <c r="BQ35" s="753"/>
      <c r="BR35" s="740"/>
      <c r="BS35" s="801"/>
      <c r="BT35" s="753"/>
      <c r="BU35" s="740"/>
      <c r="BV35" s="801"/>
      <c r="BW35" s="753"/>
      <c r="BX35" s="740"/>
      <c r="BY35" s="801"/>
      <c r="BZ35" s="753"/>
      <c r="CA35" s="740">
        <v>3000</v>
      </c>
      <c r="CB35" s="801">
        <v>3000</v>
      </c>
      <c r="CC35" s="753">
        <v>3694</v>
      </c>
      <c r="CD35" s="740"/>
      <c r="CE35" s="801"/>
      <c r="CF35" s="753"/>
      <c r="CG35" s="740"/>
      <c r="CH35" s="801"/>
      <c r="CI35" s="753"/>
      <c r="CJ35" s="740"/>
      <c r="CK35" s="801"/>
      <c r="CL35" s="753"/>
      <c r="CM35" s="740">
        <f t="shared" si="41"/>
        <v>3000</v>
      </c>
      <c r="CN35" s="801">
        <f t="shared" si="42"/>
        <v>3000</v>
      </c>
      <c r="CO35" s="753">
        <f t="shared" si="43"/>
        <v>3694</v>
      </c>
      <c r="CP35" s="740">
        <f t="shared" si="3"/>
        <v>3000</v>
      </c>
      <c r="CQ35" s="801">
        <f t="shared" si="4"/>
        <v>3000</v>
      </c>
      <c r="CR35" s="753">
        <f t="shared" si="5"/>
        <v>3694</v>
      </c>
      <c r="CS35" s="740"/>
      <c r="CT35" s="801"/>
      <c r="CU35" s="753"/>
      <c r="CV35" s="740"/>
      <c r="CW35" s="801"/>
      <c r="CX35" s="753"/>
      <c r="CY35" s="740"/>
      <c r="CZ35" s="801"/>
      <c r="DA35" s="753"/>
      <c r="DB35" s="740"/>
      <c r="DC35" s="801"/>
      <c r="DD35" s="753"/>
      <c r="DE35" s="740">
        <f t="shared" si="44"/>
        <v>0</v>
      </c>
      <c r="DF35" s="801">
        <f t="shared" si="45"/>
        <v>0</v>
      </c>
      <c r="DG35" s="753">
        <f t="shared" si="46"/>
        <v>0</v>
      </c>
      <c r="DH35" s="740"/>
      <c r="DI35" s="801"/>
      <c r="DJ35" s="753"/>
      <c r="DK35" s="740"/>
      <c r="DL35" s="801"/>
      <c r="DM35" s="753"/>
      <c r="DN35" s="740">
        <f t="shared" si="47"/>
        <v>3000</v>
      </c>
      <c r="DO35" s="801">
        <f t="shared" si="48"/>
        <v>3000</v>
      </c>
      <c r="DP35" s="753">
        <f t="shared" si="49"/>
        <v>3694</v>
      </c>
      <c r="DQ35" s="823">
        <f t="shared" si="32"/>
        <v>123.13333333333334</v>
      </c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</row>
    <row r="36" spans="1:218" ht="12.75" customHeight="1">
      <c r="A36" s="713"/>
      <c r="B36" s="715" t="s">
        <v>2</v>
      </c>
      <c r="C36" s="1962">
        <v>9291305</v>
      </c>
      <c r="D36" s="740">
        <v>5000</v>
      </c>
      <c r="E36" s="801">
        <v>5000</v>
      </c>
      <c r="F36" s="753">
        <v>4957.917</v>
      </c>
      <c r="G36" s="740"/>
      <c r="H36" s="801"/>
      <c r="I36" s="753"/>
      <c r="J36" s="740"/>
      <c r="K36" s="801"/>
      <c r="L36" s="753"/>
      <c r="M36" s="740"/>
      <c r="N36" s="801"/>
      <c r="O36" s="753"/>
      <c r="P36" s="740"/>
      <c r="Q36" s="801"/>
      <c r="R36" s="753"/>
      <c r="S36" s="740"/>
      <c r="T36" s="801"/>
      <c r="U36" s="753"/>
      <c r="V36" s="740"/>
      <c r="W36" s="801"/>
      <c r="X36" s="753"/>
      <c r="Y36" s="740"/>
      <c r="Z36" s="801"/>
      <c r="AA36" s="753"/>
      <c r="AB36" s="740"/>
      <c r="AC36" s="801"/>
      <c r="AD36" s="753"/>
      <c r="AE36" s="740"/>
      <c r="AF36" s="801"/>
      <c r="AG36" s="753"/>
      <c r="AH36" s="740"/>
      <c r="AI36" s="801"/>
      <c r="AJ36" s="753"/>
      <c r="AK36" s="740"/>
      <c r="AL36" s="801"/>
      <c r="AM36" s="753"/>
      <c r="AN36" s="740"/>
      <c r="AO36" s="801"/>
      <c r="AP36" s="753"/>
      <c r="AQ36" s="740"/>
      <c r="AR36" s="801"/>
      <c r="AS36" s="753"/>
      <c r="AT36" s="740"/>
      <c r="AU36" s="801"/>
      <c r="AV36" s="753"/>
      <c r="AW36" s="740"/>
      <c r="AX36" s="801"/>
      <c r="AY36" s="753"/>
      <c r="AZ36" s="740"/>
      <c r="BA36" s="801"/>
      <c r="BB36" s="753"/>
      <c r="BC36" s="740"/>
      <c r="BD36" s="801"/>
      <c r="BE36" s="753"/>
      <c r="BF36" s="740"/>
      <c r="BG36" s="801"/>
      <c r="BH36" s="753"/>
      <c r="BI36" s="740">
        <f t="shared" si="38"/>
        <v>5000</v>
      </c>
      <c r="BJ36" s="801">
        <f t="shared" si="39"/>
        <v>5000</v>
      </c>
      <c r="BK36" s="753">
        <f t="shared" si="40"/>
        <v>4957.917</v>
      </c>
      <c r="BL36" s="740"/>
      <c r="BM36" s="801"/>
      <c r="BN36" s="753"/>
      <c r="BO36" s="740"/>
      <c r="BP36" s="801"/>
      <c r="BQ36" s="753"/>
      <c r="BR36" s="740"/>
      <c r="BS36" s="801"/>
      <c r="BT36" s="753"/>
      <c r="BU36" s="740"/>
      <c r="BV36" s="801"/>
      <c r="BW36" s="753"/>
      <c r="BX36" s="740"/>
      <c r="BY36" s="801"/>
      <c r="BZ36" s="753"/>
      <c r="CA36" s="740"/>
      <c r="CB36" s="801"/>
      <c r="CC36" s="753"/>
      <c r="CD36" s="740"/>
      <c r="CE36" s="801"/>
      <c r="CF36" s="753"/>
      <c r="CG36" s="740"/>
      <c r="CH36" s="801"/>
      <c r="CI36" s="753"/>
      <c r="CJ36" s="740"/>
      <c r="CK36" s="801"/>
      <c r="CL36" s="753"/>
      <c r="CM36" s="740">
        <f t="shared" si="41"/>
        <v>0</v>
      </c>
      <c r="CN36" s="801">
        <f t="shared" si="42"/>
        <v>0</v>
      </c>
      <c r="CO36" s="753">
        <f t="shared" si="43"/>
        <v>0</v>
      </c>
      <c r="CP36" s="740">
        <f t="shared" si="3"/>
        <v>5000</v>
      </c>
      <c r="CQ36" s="801">
        <f t="shared" si="4"/>
        <v>5000</v>
      </c>
      <c r="CR36" s="753">
        <f t="shared" si="5"/>
        <v>4957.917</v>
      </c>
      <c r="CS36" s="740"/>
      <c r="CT36" s="801"/>
      <c r="CU36" s="753"/>
      <c r="CV36" s="740"/>
      <c r="CW36" s="801"/>
      <c r="CX36" s="753"/>
      <c r="CY36" s="740"/>
      <c r="CZ36" s="801"/>
      <c r="DA36" s="753"/>
      <c r="DB36" s="740"/>
      <c r="DC36" s="801"/>
      <c r="DD36" s="753"/>
      <c r="DE36" s="740">
        <f t="shared" si="44"/>
        <v>0</v>
      </c>
      <c r="DF36" s="801">
        <f t="shared" si="45"/>
        <v>0</v>
      </c>
      <c r="DG36" s="753">
        <f t="shared" si="46"/>
        <v>0</v>
      </c>
      <c r="DH36" s="740"/>
      <c r="DI36" s="801"/>
      <c r="DJ36" s="753"/>
      <c r="DK36" s="740"/>
      <c r="DL36" s="801"/>
      <c r="DM36" s="753"/>
      <c r="DN36" s="740">
        <f t="shared" si="47"/>
        <v>5000</v>
      </c>
      <c r="DO36" s="801">
        <f t="shared" si="48"/>
        <v>5000</v>
      </c>
      <c r="DP36" s="753">
        <f t="shared" si="49"/>
        <v>4957.917</v>
      </c>
      <c r="DQ36" s="823">
        <f t="shared" si="32"/>
        <v>99.15834000000001</v>
      </c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</row>
    <row r="37" spans="1:218" ht="12.75" customHeight="1">
      <c r="A37" s="713"/>
      <c r="B37" s="715" t="s">
        <v>273</v>
      </c>
      <c r="C37" s="1962">
        <v>92911</v>
      </c>
      <c r="D37" s="740"/>
      <c r="E37" s="801"/>
      <c r="F37" s="753"/>
      <c r="G37" s="740"/>
      <c r="H37" s="801"/>
      <c r="I37" s="753"/>
      <c r="J37" s="740"/>
      <c r="K37" s="801"/>
      <c r="L37" s="753"/>
      <c r="M37" s="740"/>
      <c r="N37" s="801"/>
      <c r="O37" s="753"/>
      <c r="P37" s="740"/>
      <c r="Q37" s="801"/>
      <c r="R37" s="753"/>
      <c r="S37" s="740"/>
      <c r="T37" s="801"/>
      <c r="U37" s="753"/>
      <c r="V37" s="740"/>
      <c r="W37" s="801"/>
      <c r="X37" s="753"/>
      <c r="Y37" s="740"/>
      <c r="Z37" s="801"/>
      <c r="AA37" s="753"/>
      <c r="AB37" s="740"/>
      <c r="AC37" s="801"/>
      <c r="AD37" s="753"/>
      <c r="AE37" s="740"/>
      <c r="AF37" s="801"/>
      <c r="AG37" s="753"/>
      <c r="AH37" s="740">
        <v>94600</v>
      </c>
      <c r="AI37" s="801">
        <v>86600</v>
      </c>
      <c r="AJ37" s="753">
        <v>79230</v>
      </c>
      <c r="AK37" s="740"/>
      <c r="AL37" s="801"/>
      <c r="AM37" s="753"/>
      <c r="AN37" s="740"/>
      <c r="AO37" s="801"/>
      <c r="AP37" s="753"/>
      <c r="AQ37" s="740"/>
      <c r="AR37" s="801"/>
      <c r="AS37" s="753"/>
      <c r="AT37" s="740"/>
      <c r="AU37" s="801"/>
      <c r="AV37" s="753"/>
      <c r="AW37" s="740"/>
      <c r="AX37" s="801"/>
      <c r="AY37" s="753"/>
      <c r="AZ37" s="740"/>
      <c r="BA37" s="801"/>
      <c r="BB37" s="753"/>
      <c r="BC37" s="740"/>
      <c r="BD37" s="801"/>
      <c r="BE37" s="753"/>
      <c r="BF37" s="740"/>
      <c r="BG37" s="801"/>
      <c r="BH37" s="753"/>
      <c r="BI37" s="740">
        <f t="shared" si="38"/>
        <v>94600</v>
      </c>
      <c r="BJ37" s="801">
        <f t="shared" si="39"/>
        <v>86600</v>
      </c>
      <c r="BK37" s="753">
        <f t="shared" si="40"/>
        <v>79230</v>
      </c>
      <c r="BL37" s="740"/>
      <c r="BM37" s="801"/>
      <c r="BN37" s="753"/>
      <c r="BO37" s="740"/>
      <c r="BP37" s="801"/>
      <c r="BQ37" s="753"/>
      <c r="BR37" s="740"/>
      <c r="BS37" s="801"/>
      <c r="BT37" s="753"/>
      <c r="BU37" s="740"/>
      <c r="BV37" s="801"/>
      <c r="BW37" s="753"/>
      <c r="BX37" s="740"/>
      <c r="BY37" s="801"/>
      <c r="BZ37" s="753"/>
      <c r="CA37" s="740"/>
      <c r="CB37" s="801"/>
      <c r="CC37" s="753"/>
      <c r="CD37" s="740"/>
      <c r="CE37" s="801"/>
      <c r="CF37" s="753"/>
      <c r="CG37" s="740"/>
      <c r="CH37" s="801"/>
      <c r="CI37" s="753"/>
      <c r="CJ37" s="740"/>
      <c r="CK37" s="801"/>
      <c r="CL37" s="753"/>
      <c r="CM37" s="740">
        <f t="shared" si="41"/>
        <v>0</v>
      </c>
      <c r="CN37" s="801">
        <f t="shared" si="42"/>
        <v>0</v>
      </c>
      <c r="CO37" s="753">
        <f t="shared" si="43"/>
        <v>0</v>
      </c>
      <c r="CP37" s="740">
        <f t="shared" si="3"/>
        <v>94600</v>
      </c>
      <c r="CQ37" s="801">
        <f t="shared" si="4"/>
        <v>86600</v>
      </c>
      <c r="CR37" s="753">
        <f t="shared" si="5"/>
        <v>79230</v>
      </c>
      <c r="CS37" s="740"/>
      <c r="CT37" s="801"/>
      <c r="CU37" s="753"/>
      <c r="CV37" s="740"/>
      <c r="CW37" s="801"/>
      <c r="CX37" s="753"/>
      <c r="CY37" s="740"/>
      <c r="CZ37" s="801"/>
      <c r="DA37" s="753"/>
      <c r="DB37" s="740"/>
      <c r="DC37" s="801"/>
      <c r="DD37" s="753"/>
      <c r="DE37" s="740">
        <f t="shared" si="44"/>
        <v>0</v>
      </c>
      <c r="DF37" s="801">
        <f t="shared" si="45"/>
        <v>0</v>
      </c>
      <c r="DG37" s="753">
        <f t="shared" si="46"/>
        <v>0</v>
      </c>
      <c r="DH37" s="740"/>
      <c r="DI37" s="801"/>
      <c r="DJ37" s="753"/>
      <c r="DK37" s="740"/>
      <c r="DL37" s="801"/>
      <c r="DM37" s="753"/>
      <c r="DN37" s="740">
        <f t="shared" si="47"/>
        <v>94600</v>
      </c>
      <c r="DO37" s="801">
        <f t="shared" si="48"/>
        <v>86600</v>
      </c>
      <c r="DP37" s="753">
        <f t="shared" si="49"/>
        <v>79230</v>
      </c>
      <c r="DQ37" s="823">
        <f t="shared" si="32"/>
        <v>91.48960739030024</v>
      </c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</row>
    <row r="38" spans="1:218" ht="12.75" customHeight="1">
      <c r="A38" s="713"/>
      <c r="B38" s="715" t="s">
        <v>274</v>
      </c>
      <c r="C38" s="1962">
        <v>92912</v>
      </c>
      <c r="D38" s="740"/>
      <c r="E38" s="801"/>
      <c r="F38" s="753"/>
      <c r="G38" s="740"/>
      <c r="H38" s="801"/>
      <c r="I38" s="753"/>
      <c r="J38" s="740"/>
      <c r="K38" s="801"/>
      <c r="L38" s="753"/>
      <c r="M38" s="740"/>
      <c r="N38" s="801"/>
      <c r="O38" s="753"/>
      <c r="P38" s="740"/>
      <c r="Q38" s="801"/>
      <c r="R38" s="753"/>
      <c r="S38" s="740"/>
      <c r="T38" s="801"/>
      <c r="U38" s="753"/>
      <c r="V38" s="740"/>
      <c r="W38" s="801"/>
      <c r="X38" s="753"/>
      <c r="Y38" s="740"/>
      <c r="Z38" s="801"/>
      <c r="AA38" s="753"/>
      <c r="AB38" s="740"/>
      <c r="AC38" s="801"/>
      <c r="AD38" s="753"/>
      <c r="AE38" s="740"/>
      <c r="AF38" s="801"/>
      <c r="AG38" s="753"/>
      <c r="AH38" s="740">
        <v>229700</v>
      </c>
      <c r="AI38" s="801">
        <v>228700</v>
      </c>
      <c r="AJ38" s="753">
        <v>226036</v>
      </c>
      <c r="AK38" s="740"/>
      <c r="AL38" s="801"/>
      <c r="AM38" s="753"/>
      <c r="AN38" s="740"/>
      <c r="AO38" s="801"/>
      <c r="AP38" s="753"/>
      <c r="AQ38" s="740"/>
      <c r="AR38" s="801"/>
      <c r="AS38" s="753"/>
      <c r="AT38" s="740"/>
      <c r="AU38" s="801"/>
      <c r="AV38" s="753"/>
      <c r="AW38" s="740"/>
      <c r="AX38" s="801"/>
      <c r="AY38" s="753"/>
      <c r="AZ38" s="740"/>
      <c r="BA38" s="801"/>
      <c r="BB38" s="753"/>
      <c r="BC38" s="740"/>
      <c r="BD38" s="801"/>
      <c r="BE38" s="753"/>
      <c r="BF38" s="740"/>
      <c r="BG38" s="801"/>
      <c r="BH38" s="753"/>
      <c r="BI38" s="740">
        <f t="shared" si="38"/>
        <v>229700</v>
      </c>
      <c r="BJ38" s="801">
        <f t="shared" si="39"/>
        <v>228700</v>
      </c>
      <c r="BK38" s="753">
        <f t="shared" si="40"/>
        <v>226036</v>
      </c>
      <c r="BL38" s="740"/>
      <c r="BM38" s="801"/>
      <c r="BN38" s="753"/>
      <c r="BO38" s="740"/>
      <c r="BP38" s="801"/>
      <c r="BQ38" s="753"/>
      <c r="BR38" s="740"/>
      <c r="BS38" s="801"/>
      <c r="BT38" s="753"/>
      <c r="BU38" s="740"/>
      <c r="BV38" s="801"/>
      <c r="BW38" s="753"/>
      <c r="BX38" s="740"/>
      <c r="BY38" s="801"/>
      <c r="BZ38" s="753"/>
      <c r="CA38" s="740"/>
      <c r="CB38" s="801"/>
      <c r="CC38" s="753"/>
      <c r="CD38" s="740"/>
      <c r="CE38" s="801"/>
      <c r="CF38" s="753"/>
      <c r="CG38" s="740"/>
      <c r="CH38" s="801"/>
      <c r="CI38" s="753"/>
      <c r="CJ38" s="740"/>
      <c r="CK38" s="801"/>
      <c r="CL38" s="753"/>
      <c r="CM38" s="740">
        <f t="shared" si="41"/>
        <v>0</v>
      </c>
      <c r="CN38" s="801">
        <f t="shared" si="42"/>
        <v>0</v>
      </c>
      <c r="CO38" s="753">
        <f t="shared" si="43"/>
        <v>0</v>
      </c>
      <c r="CP38" s="740">
        <f t="shared" si="3"/>
        <v>229700</v>
      </c>
      <c r="CQ38" s="801">
        <f t="shared" si="4"/>
        <v>228700</v>
      </c>
      <c r="CR38" s="753">
        <f t="shared" si="5"/>
        <v>226036</v>
      </c>
      <c r="CS38" s="740"/>
      <c r="CT38" s="801"/>
      <c r="CU38" s="753"/>
      <c r="CV38" s="740"/>
      <c r="CW38" s="801"/>
      <c r="CX38" s="753"/>
      <c r="CY38" s="740"/>
      <c r="CZ38" s="801"/>
      <c r="DA38" s="753"/>
      <c r="DB38" s="740"/>
      <c r="DC38" s="801"/>
      <c r="DD38" s="753"/>
      <c r="DE38" s="740">
        <f t="shared" si="44"/>
        <v>0</v>
      </c>
      <c r="DF38" s="801">
        <f t="shared" si="45"/>
        <v>0</v>
      </c>
      <c r="DG38" s="753">
        <f t="shared" si="46"/>
        <v>0</v>
      </c>
      <c r="DH38" s="740"/>
      <c r="DI38" s="801"/>
      <c r="DJ38" s="753"/>
      <c r="DK38" s="740"/>
      <c r="DL38" s="801"/>
      <c r="DM38" s="753"/>
      <c r="DN38" s="740">
        <f t="shared" si="47"/>
        <v>229700</v>
      </c>
      <c r="DO38" s="801">
        <f t="shared" si="48"/>
        <v>228700</v>
      </c>
      <c r="DP38" s="753">
        <f t="shared" si="49"/>
        <v>226036</v>
      </c>
      <c r="DQ38" s="823">
        <f t="shared" si="32"/>
        <v>98.83515522518583</v>
      </c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</row>
    <row r="39" spans="1:218" ht="12.75" customHeight="1">
      <c r="A39" s="713"/>
      <c r="B39" s="715" t="s">
        <v>999</v>
      </c>
      <c r="C39" s="1962">
        <v>92913011</v>
      </c>
      <c r="D39" s="740"/>
      <c r="E39" s="801"/>
      <c r="F39" s="753"/>
      <c r="G39" s="740"/>
      <c r="H39" s="801"/>
      <c r="I39" s="753"/>
      <c r="J39" s="740">
        <v>19104</v>
      </c>
      <c r="K39" s="801">
        <v>19104</v>
      </c>
      <c r="L39" s="753">
        <v>19104.706</v>
      </c>
      <c r="M39" s="740"/>
      <c r="N39" s="801"/>
      <c r="O39" s="753"/>
      <c r="P39" s="740"/>
      <c r="Q39" s="801"/>
      <c r="R39" s="753"/>
      <c r="S39" s="740"/>
      <c r="T39" s="801"/>
      <c r="U39" s="753"/>
      <c r="V39" s="740"/>
      <c r="W39" s="801"/>
      <c r="X39" s="753"/>
      <c r="Y39" s="740"/>
      <c r="Z39" s="801"/>
      <c r="AA39" s="753"/>
      <c r="AB39" s="740"/>
      <c r="AC39" s="801"/>
      <c r="AD39" s="753"/>
      <c r="AE39" s="740"/>
      <c r="AF39" s="801"/>
      <c r="AG39" s="753"/>
      <c r="AH39" s="740"/>
      <c r="AI39" s="801"/>
      <c r="AJ39" s="753"/>
      <c r="AK39" s="740"/>
      <c r="AL39" s="801"/>
      <c r="AM39" s="753"/>
      <c r="AN39" s="740"/>
      <c r="AO39" s="801"/>
      <c r="AP39" s="753"/>
      <c r="AQ39" s="740"/>
      <c r="AR39" s="801"/>
      <c r="AS39" s="753"/>
      <c r="AT39" s="740"/>
      <c r="AU39" s="801"/>
      <c r="AV39" s="753"/>
      <c r="AW39" s="740"/>
      <c r="AX39" s="801"/>
      <c r="AY39" s="753"/>
      <c r="AZ39" s="740"/>
      <c r="BA39" s="801"/>
      <c r="BB39" s="753"/>
      <c r="BC39" s="740"/>
      <c r="BD39" s="801"/>
      <c r="BE39" s="753"/>
      <c r="BF39" s="740"/>
      <c r="BG39" s="801"/>
      <c r="BH39" s="753"/>
      <c r="BI39" s="740">
        <f t="shared" si="38"/>
        <v>19104</v>
      </c>
      <c r="BJ39" s="801">
        <f t="shared" si="39"/>
        <v>19104</v>
      </c>
      <c r="BK39" s="753">
        <f t="shared" si="40"/>
        <v>19104.706</v>
      </c>
      <c r="BL39" s="740"/>
      <c r="BM39" s="801"/>
      <c r="BN39" s="753"/>
      <c r="BO39" s="740"/>
      <c r="BP39" s="801"/>
      <c r="BQ39" s="753"/>
      <c r="BR39" s="740"/>
      <c r="BS39" s="801"/>
      <c r="BT39" s="753"/>
      <c r="BU39" s="740"/>
      <c r="BV39" s="801"/>
      <c r="BW39" s="753"/>
      <c r="BX39" s="740"/>
      <c r="BY39" s="801"/>
      <c r="BZ39" s="753"/>
      <c r="CA39" s="740"/>
      <c r="CB39" s="801"/>
      <c r="CC39" s="753"/>
      <c r="CD39" s="740"/>
      <c r="CE39" s="801"/>
      <c r="CF39" s="753"/>
      <c r="CG39" s="740"/>
      <c r="CH39" s="801"/>
      <c r="CI39" s="753"/>
      <c r="CJ39" s="740"/>
      <c r="CK39" s="801"/>
      <c r="CL39" s="753"/>
      <c r="CM39" s="740">
        <f t="shared" si="41"/>
        <v>0</v>
      </c>
      <c r="CN39" s="801">
        <f t="shared" si="42"/>
        <v>0</v>
      </c>
      <c r="CO39" s="753">
        <f t="shared" si="43"/>
        <v>0</v>
      </c>
      <c r="CP39" s="740">
        <f t="shared" si="3"/>
        <v>19104</v>
      </c>
      <c r="CQ39" s="801">
        <f t="shared" si="4"/>
        <v>19104</v>
      </c>
      <c r="CR39" s="753">
        <f t="shared" si="5"/>
        <v>19104.706</v>
      </c>
      <c r="CS39" s="740"/>
      <c r="CT39" s="801"/>
      <c r="CU39" s="753"/>
      <c r="CV39" s="740"/>
      <c r="CW39" s="801"/>
      <c r="CX39" s="753"/>
      <c r="CY39" s="740"/>
      <c r="CZ39" s="801"/>
      <c r="DA39" s="753"/>
      <c r="DB39" s="740"/>
      <c r="DC39" s="801"/>
      <c r="DD39" s="753"/>
      <c r="DE39" s="740">
        <f t="shared" si="44"/>
        <v>0</v>
      </c>
      <c r="DF39" s="801">
        <f t="shared" si="45"/>
        <v>0</v>
      </c>
      <c r="DG39" s="753">
        <f t="shared" si="46"/>
        <v>0</v>
      </c>
      <c r="DH39" s="740"/>
      <c r="DI39" s="801"/>
      <c r="DJ39" s="753"/>
      <c r="DK39" s="740"/>
      <c r="DL39" s="801"/>
      <c r="DM39" s="753"/>
      <c r="DN39" s="740">
        <f t="shared" si="47"/>
        <v>19104</v>
      </c>
      <c r="DO39" s="801">
        <f t="shared" si="48"/>
        <v>19104</v>
      </c>
      <c r="DP39" s="753">
        <f t="shared" si="49"/>
        <v>19104.706</v>
      </c>
      <c r="DQ39" s="823">
        <f t="shared" si="32"/>
        <v>100.00369556113901</v>
      </c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</row>
    <row r="40" spans="1:218" ht="12.75" customHeight="1">
      <c r="A40" s="713"/>
      <c r="B40" s="722" t="s">
        <v>1118</v>
      </c>
      <c r="C40" s="1965">
        <v>9291304</v>
      </c>
      <c r="D40" s="740"/>
      <c r="E40" s="801"/>
      <c r="F40" s="753"/>
      <c r="G40" s="740"/>
      <c r="H40" s="801"/>
      <c r="I40" s="753"/>
      <c r="J40" s="740"/>
      <c r="K40" s="801"/>
      <c r="L40" s="753"/>
      <c r="M40" s="740"/>
      <c r="N40" s="801"/>
      <c r="O40" s="753"/>
      <c r="P40" s="740"/>
      <c r="Q40" s="801"/>
      <c r="R40" s="753"/>
      <c r="S40" s="740"/>
      <c r="T40" s="801"/>
      <c r="U40" s="753"/>
      <c r="V40" s="740"/>
      <c r="W40" s="801"/>
      <c r="X40" s="753"/>
      <c r="Y40" s="740"/>
      <c r="Z40" s="801"/>
      <c r="AA40" s="753"/>
      <c r="AB40" s="740"/>
      <c r="AC40" s="801"/>
      <c r="AD40" s="753"/>
      <c r="AE40" s="740"/>
      <c r="AF40" s="801"/>
      <c r="AG40" s="753"/>
      <c r="AH40" s="740"/>
      <c r="AI40" s="801"/>
      <c r="AJ40" s="753"/>
      <c r="AK40" s="740"/>
      <c r="AL40" s="801"/>
      <c r="AM40" s="753"/>
      <c r="AN40" s="740"/>
      <c r="AO40" s="801"/>
      <c r="AP40" s="753"/>
      <c r="AQ40" s="740"/>
      <c r="AR40" s="801"/>
      <c r="AS40" s="753"/>
      <c r="AT40" s="740"/>
      <c r="AU40" s="801"/>
      <c r="AV40" s="753"/>
      <c r="AW40" s="740"/>
      <c r="AX40" s="801"/>
      <c r="AY40" s="753"/>
      <c r="AZ40" s="740"/>
      <c r="BA40" s="801"/>
      <c r="BB40" s="753"/>
      <c r="BC40" s="740"/>
      <c r="BD40" s="801"/>
      <c r="BE40" s="753"/>
      <c r="BF40" s="740"/>
      <c r="BG40" s="801">
        <v>4000</v>
      </c>
      <c r="BH40" s="753">
        <v>4000</v>
      </c>
      <c r="BI40" s="740">
        <f t="shared" si="38"/>
        <v>0</v>
      </c>
      <c r="BJ40" s="801">
        <f t="shared" si="39"/>
        <v>4000</v>
      </c>
      <c r="BK40" s="753">
        <f t="shared" si="40"/>
        <v>4000</v>
      </c>
      <c r="BL40" s="740"/>
      <c r="BM40" s="801"/>
      <c r="BN40" s="753"/>
      <c r="BO40" s="740"/>
      <c r="BP40" s="801"/>
      <c r="BQ40" s="753"/>
      <c r="BR40" s="740"/>
      <c r="BS40" s="801"/>
      <c r="BT40" s="753"/>
      <c r="BU40" s="740"/>
      <c r="BV40" s="801"/>
      <c r="BW40" s="753"/>
      <c r="BX40" s="740"/>
      <c r="BY40" s="801"/>
      <c r="BZ40" s="753"/>
      <c r="CA40" s="740"/>
      <c r="CB40" s="801"/>
      <c r="CC40" s="753"/>
      <c r="CD40" s="740"/>
      <c r="CE40" s="801"/>
      <c r="CF40" s="753"/>
      <c r="CG40" s="740"/>
      <c r="CH40" s="801"/>
      <c r="CI40" s="753"/>
      <c r="CJ40" s="740"/>
      <c r="CK40" s="801"/>
      <c r="CL40" s="753"/>
      <c r="CM40" s="740">
        <f t="shared" si="41"/>
        <v>0</v>
      </c>
      <c r="CN40" s="801">
        <f t="shared" si="42"/>
        <v>0</v>
      </c>
      <c r="CO40" s="753">
        <f t="shared" si="43"/>
        <v>0</v>
      </c>
      <c r="CP40" s="740">
        <f t="shared" si="3"/>
        <v>0</v>
      </c>
      <c r="CQ40" s="801">
        <f t="shared" si="4"/>
        <v>4000</v>
      </c>
      <c r="CR40" s="753">
        <f t="shared" si="5"/>
        <v>4000</v>
      </c>
      <c r="CS40" s="740"/>
      <c r="CT40" s="801"/>
      <c r="CU40" s="753"/>
      <c r="CV40" s="740"/>
      <c r="CW40" s="801"/>
      <c r="CX40" s="753"/>
      <c r="CY40" s="740"/>
      <c r="CZ40" s="801"/>
      <c r="DA40" s="753"/>
      <c r="DB40" s="740"/>
      <c r="DC40" s="801"/>
      <c r="DD40" s="753"/>
      <c r="DE40" s="740">
        <f t="shared" si="44"/>
        <v>0</v>
      </c>
      <c r="DF40" s="801">
        <f t="shared" si="45"/>
        <v>0</v>
      </c>
      <c r="DG40" s="753">
        <f t="shared" si="46"/>
        <v>0</v>
      </c>
      <c r="DH40" s="740"/>
      <c r="DI40" s="801"/>
      <c r="DJ40" s="753"/>
      <c r="DK40" s="740"/>
      <c r="DL40" s="801"/>
      <c r="DM40" s="753"/>
      <c r="DN40" s="740">
        <f t="shared" si="47"/>
        <v>0</v>
      </c>
      <c r="DO40" s="801">
        <f t="shared" si="48"/>
        <v>4000</v>
      </c>
      <c r="DP40" s="753">
        <f t="shared" si="49"/>
        <v>4000</v>
      </c>
      <c r="DQ40" s="823">
        <f>DP40/DO40*100</f>
        <v>100</v>
      </c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</row>
    <row r="41" spans="1:218" ht="12.75" customHeight="1">
      <c r="A41" s="1470" t="s">
        <v>156</v>
      </c>
      <c r="B41" s="1474" t="s">
        <v>241</v>
      </c>
      <c r="C41" s="1966"/>
      <c r="D41" s="747"/>
      <c r="E41" s="808"/>
      <c r="F41" s="760"/>
      <c r="G41" s="747"/>
      <c r="H41" s="808"/>
      <c r="I41" s="760"/>
      <c r="J41" s="747"/>
      <c r="K41" s="808"/>
      <c r="L41" s="760"/>
      <c r="M41" s="747"/>
      <c r="N41" s="808"/>
      <c r="O41" s="760"/>
      <c r="P41" s="747"/>
      <c r="Q41" s="808"/>
      <c r="R41" s="760"/>
      <c r="S41" s="747"/>
      <c r="T41" s="808"/>
      <c r="U41" s="760"/>
      <c r="V41" s="747"/>
      <c r="W41" s="808"/>
      <c r="X41" s="760"/>
      <c r="Y41" s="747"/>
      <c r="Z41" s="808"/>
      <c r="AA41" s="760"/>
      <c r="AB41" s="747"/>
      <c r="AC41" s="808"/>
      <c r="AD41" s="760"/>
      <c r="AE41" s="747"/>
      <c r="AF41" s="808"/>
      <c r="AG41" s="760"/>
      <c r="AH41" s="747"/>
      <c r="AI41" s="808"/>
      <c r="AJ41" s="760"/>
      <c r="AK41" s="747"/>
      <c r="AL41" s="808"/>
      <c r="AM41" s="760"/>
      <c r="AN41" s="747"/>
      <c r="AO41" s="808"/>
      <c r="AP41" s="760"/>
      <c r="AQ41" s="747"/>
      <c r="AR41" s="808"/>
      <c r="AS41" s="760"/>
      <c r="AT41" s="747"/>
      <c r="AU41" s="808"/>
      <c r="AV41" s="760"/>
      <c r="AW41" s="747"/>
      <c r="AX41" s="808"/>
      <c r="AY41" s="760"/>
      <c r="AZ41" s="747"/>
      <c r="BA41" s="808"/>
      <c r="BB41" s="760"/>
      <c r="BC41" s="747"/>
      <c r="BD41" s="808"/>
      <c r="BE41" s="760"/>
      <c r="BF41" s="747"/>
      <c r="BG41" s="808"/>
      <c r="BH41" s="760"/>
      <c r="BI41" s="747">
        <f t="shared" si="38"/>
        <v>0</v>
      </c>
      <c r="BJ41" s="808">
        <f t="shared" si="39"/>
        <v>0</v>
      </c>
      <c r="BK41" s="760">
        <f t="shared" si="40"/>
        <v>0</v>
      </c>
      <c r="BL41" s="747"/>
      <c r="BM41" s="808"/>
      <c r="BN41" s="760"/>
      <c r="BO41" s="747"/>
      <c r="BP41" s="808"/>
      <c r="BQ41" s="760"/>
      <c r="BR41" s="747"/>
      <c r="BS41" s="808"/>
      <c r="BT41" s="760"/>
      <c r="BU41" s="747"/>
      <c r="BV41" s="808"/>
      <c r="BW41" s="760"/>
      <c r="BX41" s="747"/>
      <c r="BY41" s="808"/>
      <c r="BZ41" s="760"/>
      <c r="CA41" s="747"/>
      <c r="CB41" s="808"/>
      <c r="CC41" s="760"/>
      <c r="CD41" s="747"/>
      <c r="CE41" s="808"/>
      <c r="CF41" s="760"/>
      <c r="CG41" s="747"/>
      <c r="CH41" s="808"/>
      <c r="CI41" s="760"/>
      <c r="CJ41" s="747"/>
      <c r="CK41" s="808"/>
      <c r="CL41" s="760"/>
      <c r="CM41" s="747">
        <f t="shared" si="41"/>
        <v>0</v>
      </c>
      <c r="CN41" s="808">
        <f t="shared" si="42"/>
        <v>0</v>
      </c>
      <c r="CO41" s="760">
        <f t="shared" si="43"/>
        <v>0</v>
      </c>
      <c r="CP41" s="747">
        <f t="shared" si="3"/>
        <v>0</v>
      </c>
      <c r="CQ41" s="808">
        <f t="shared" si="4"/>
        <v>0</v>
      </c>
      <c r="CR41" s="760">
        <f t="shared" si="5"/>
        <v>0</v>
      </c>
      <c r="CS41" s="747"/>
      <c r="CT41" s="808"/>
      <c r="CU41" s="760"/>
      <c r="CV41" s="747"/>
      <c r="CW41" s="808"/>
      <c r="CX41" s="760"/>
      <c r="CY41" s="747"/>
      <c r="CZ41" s="808"/>
      <c r="DA41" s="760"/>
      <c r="DB41" s="747"/>
      <c r="DC41" s="808"/>
      <c r="DD41" s="760"/>
      <c r="DE41" s="747">
        <f t="shared" si="44"/>
        <v>0</v>
      </c>
      <c r="DF41" s="808">
        <f t="shared" si="45"/>
        <v>0</v>
      </c>
      <c r="DG41" s="760">
        <f t="shared" si="46"/>
        <v>0</v>
      </c>
      <c r="DH41" s="747"/>
      <c r="DI41" s="808"/>
      <c r="DJ41" s="760"/>
      <c r="DK41" s="747"/>
      <c r="DL41" s="808"/>
      <c r="DM41" s="760"/>
      <c r="DN41" s="747"/>
      <c r="DO41" s="808"/>
      <c r="DP41" s="760"/>
      <c r="DQ41" s="1468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</row>
    <row r="42" spans="1:218" ht="12.75" customHeight="1">
      <c r="A42" s="1471" t="s">
        <v>457</v>
      </c>
      <c r="B42" s="1474" t="s">
        <v>1058</v>
      </c>
      <c r="C42" s="1967"/>
      <c r="D42" s="742">
        <f aca="true" t="shared" si="50" ref="D42:BL42">D43</f>
        <v>0</v>
      </c>
      <c r="E42" s="803">
        <f t="shared" si="50"/>
        <v>0</v>
      </c>
      <c r="F42" s="755">
        <f t="shared" si="50"/>
        <v>0</v>
      </c>
      <c r="G42" s="742">
        <f t="shared" si="50"/>
        <v>0</v>
      </c>
      <c r="H42" s="803">
        <f t="shared" si="50"/>
        <v>0</v>
      </c>
      <c r="I42" s="755">
        <f t="shared" si="50"/>
        <v>0</v>
      </c>
      <c r="J42" s="742">
        <f t="shared" si="50"/>
        <v>0</v>
      </c>
      <c r="K42" s="803">
        <f t="shared" si="50"/>
        <v>0</v>
      </c>
      <c r="L42" s="755">
        <f t="shared" si="50"/>
        <v>0</v>
      </c>
      <c r="M42" s="742">
        <f t="shared" si="50"/>
        <v>0</v>
      </c>
      <c r="N42" s="803">
        <f t="shared" si="50"/>
        <v>0</v>
      </c>
      <c r="O42" s="755">
        <f t="shared" si="50"/>
        <v>0</v>
      </c>
      <c r="P42" s="742">
        <f t="shared" si="50"/>
        <v>0</v>
      </c>
      <c r="Q42" s="803">
        <f t="shared" si="50"/>
        <v>844</v>
      </c>
      <c r="R42" s="755">
        <f t="shared" si="50"/>
        <v>844</v>
      </c>
      <c r="S42" s="742">
        <f t="shared" si="50"/>
        <v>50000</v>
      </c>
      <c r="T42" s="803">
        <f t="shared" si="50"/>
        <v>52463.9</v>
      </c>
      <c r="U42" s="755">
        <f t="shared" si="50"/>
        <v>52464</v>
      </c>
      <c r="V42" s="742">
        <f t="shared" si="50"/>
        <v>161500</v>
      </c>
      <c r="W42" s="803">
        <f t="shared" si="50"/>
        <v>0</v>
      </c>
      <c r="X42" s="755">
        <f t="shared" si="50"/>
        <v>0</v>
      </c>
      <c r="Y42" s="742">
        <f t="shared" si="50"/>
        <v>215000</v>
      </c>
      <c r="Z42" s="803">
        <f t="shared" si="50"/>
        <v>119514.33600000001</v>
      </c>
      <c r="AA42" s="755">
        <f t="shared" si="50"/>
        <v>119714.82</v>
      </c>
      <c r="AB42" s="742">
        <f t="shared" si="50"/>
        <v>0</v>
      </c>
      <c r="AC42" s="803">
        <f t="shared" si="50"/>
        <v>0</v>
      </c>
      <c r="AD42" s="755">
        <f t="shared" si="50"/>
        <v>0</v>
      </c>
      <c r="AE42" s="742">
        <f t="shared" si="50"/>
        <v>0</v>
      </c>
      <c r="AF42" s="803">
        <f t="shared" si="50"/>
        <v>0</v>
      </c>
      <c r="AG42" s="755">
        <f t="shared" si="50"/>
        <v>0</v>
      </c>
      <c r="AH42" s="742">
        <f t="shared" si="50"/>
        <v>0</v>
      </c>
      <c r="AI42" s="803">
        <f t="shared" si="50"/>
        <v>0</v>
      </c>
      <c r="AJ42" s="755">
        <f t="shared" si="50"/>
        <v>0</v>
      </c>
      <c r="AK42" s="742">
        <f t="shared" si="50"/>
        <v>0</v>
      </c>
      <c r="AL42" s="803">
        <f t="shared" si="50"/>
        <v>0</v>
      </c>
      <c r="AM42" s="755">
        <f t="shared" si="50"/>
        <v>0</v>
      </c>
      <c r="AN42" s="742">
        <f t="shared" si="50"/>
        <v>0</v>
      </c>
      <c r="AO42" s="803">
        <f t="shared" si="50"/>
        <v>0</v>
      </c>
      <c r="AP42" s="755">
        <f t="shared" si="50"/>
        <v>0</v>
      </c>
      <c r="AQ42" s="742">
        <f t="shared" si="50"/>
        <v>0</v>
      </c>
      <c r="AR42" s="803">
        <f t="shared" si="50"/>
        <v>0</v>
      </c>
      <c r="AS42" s="755">
        <f t="shared" si="50"/>
        <v>0</v>
      </c>
      <c r="AT42" s="742">
        <f t="shared" si="50"/>
        <v>0</v>
      </c>
      <c r="AU42" s="803">
        <f t="shared" si="50"/>
        <v>0</v>
      </c>
      <c r="AV42" s="755">
        <f t="shared" si="50"/>
        <v>0</v>
      </c>
      <c r="AW42" s="742">
        <f t="shared" si="50"/>
        <v>0</v>
      </c>
      <c r="AX42" s="803">
        <f t="shared" si="50"/>
        <v>5646.967</v>
      </c>
      <c r="AY42" s="755">
        <f t="shared" si="50"/>
        <v>7370.584</v>
      </c>
      <c r="AZ42" s="742">
        <f t="shared" si="50"/>
        <v>0</v>
      </c>
      <c r="BA42" s="803">
        <f t="shared" si="50"/>
        <v>0</v>
      </c>
      <c r="BB42" s="755">
        <f t="shared" si="50"/>
        <v>0</v>
      </c>
      <c r="BC42" s="742">
        <f t="shared" si="50"/>
        <v>1721761</v>
      </c>
      <c r="BD42" s="803">
        <f t="shared" si="50"/>
        <v>1974448.286</v>
      </c>
      <c r="BE42" s="755">
        <f t="shared" si="50"/>
        <v>1990072.2449999999</v>
      </c>
      <c r="BF42" s="742">
        <f t="shared" si="50"/>
        <v>0</v>
      </c>
      <c r="BG42" s="803">
        <f t="shared" si="50"/>
        <v>0</v>
      </c>
      <c r="BH42" s="755">
        <f t="shared" si="50"/>
        <v>0</v>
      </c>
      <c r="BI42" s="742">
        <f t="shared" si="50"/>
        <v>2148261</v>
      </c>
      <c r="BJ42" s="803">
        <f t="shared" si="50"/>
        <v>2152917.51</v>
      </c>
      <c r="BK42" s="755">
        <f t="shared" si="50"/>
        <v>2170465.57</v>
      </c>
      <c r="BL42" s="742">
        <f t="shared" si="50"/>
        <v>0</v>
      </c>
      <c r="BM42" s="803">
        <f aca="true" t="shared" si="51" ref="BM42:DP42">BM43</f>
        <v>0</v>
      </c>
      <c r="BN42" s="755">
        <f t="shared" si="51"/>
        <v>0</v>
      </c>
      <c r="BO42" s="742">
        <f t="shared" si="51"/>
        <v>0</v>
      </c>
      <c r="BP42" s="803">
        <f t="shared" si="51"/>
        <v>0</v>
      </c>
      <c r="BQ42" s="755">
        <f t="shared" si="51"/>
        <v>0</v>
      </c>
      <c r="BR42" s="742">
        <f t="shared" si="51"/>
        <v>0</v>
      </c>
      <c r="BS42" s="803">
        <f t="shared" si="51"/>
        <v>0</v>
      </c>
      <c r="BT42" s="755">
        <f t="shared" si="51"/>
        <v>0</v>
      </c>
      <c r="BU42" s="742">
        <f t="shared" si="51"/>
        <v>0</v>
      </c>
      <c r="BV42" s="803">
        <f t="shared" si="51"/>
        <v>0</v>
      </c>
      <c r="BW42" s="755">
        <f t="shared" si="51"/>
        <v>0</v>
      </c>
      <c r="BX42" s="742">
        <f t="shared" si="51"/>
        <v>0</v>
      </c>
      <c r="BY42" s="803">
        <f t="shared" si="51"/>
        <v>0</v>
      </c>
      <c r="BZ42" s="755">
        <f t="shared" si="51"/>
        <v>0</v>
      </c>
      <c r="CA42" s="742">
        <f t="shared" si="51"/>
        <v>0</v>
      </c>
      <c r="CB42" s="803">
        <f t="shared" si="51"/>
        <v>0</v>
      </c>
      <c r="CC42" s="755">
        <f t="shared" si="51"/>
        <v>0</v>
      </c>
      <c r="CD42" s="742">
        <f t="shared" si="51"/>
        <v>0</v>
      </c>
      <c r="CE42" s="803">
        <f t="shared" si="51"/>
        <v>1500</v>
      </c>
      <c r="CF42" s="755">
        <f t="shared" si="51"/>
        <v>1500</v>
      </c>
      <c r="CG42" s="742">
        <f t="shared" si="51"/>
        <v>0</v>
      </c>
      <c r="CH42" s="803">
        <f t="shared" si="51"/>
        <v>0</v>
      </c>
      <c r="CI42" s="755">
        <f t="shared" si="51"/>
        <v>0</v>
      </c>
      <c r="CJ42" s="742">
        <f t="shared" si="51"/>
        <v>0</v>
      </c>
      <c r="CK42" s="803">
        <f t="shared" si="51"/>
        <v>15362</v>
      </c>
      <c r="CL42" s="755">
        <f t="shared" si="51"/>
        <v>190033</v>
      </c>
      <c r="CM42" s="742">
        <f t="shared" si="51"/>
        <v>0</v>
      </c>
      <c r="CN42" s="803">
        <f t="shared" si="51"/>
        <v>16862</v>
      </c>
      <c r="CO42" s="755">
        <f t="shared" si="51"/>
        <v>191533</v>
      </c>
      <c r="CP42" s="742">
        <f t="shared" si="3"/>
        <v>2148261</v>
      </c>
      <c r="CQ42" s="803">
        <f t="shared" si="4"/>
        <v>2169779.51</v>
      </c>
      <c r="CR42" s="755">
        <f t="shared" si="5"/>
        <v>2361998.57</v>
      </c>
      <c r="CS42" s="742">
        <f t="shared" si="51"/>
        <v>0</v>
      </c>
      <c r="CT42" s="803">
        <f t="shared" si="51"/>
        <v>0</v>
      </c>
      <c r="CU42" s="755">
        <f t="shared" si="51"/>
        <v>0</v>
      </c>
      <c r="CV42" s="742">
        <f t="shared" si="51"/>
        <v>0</v>
      </c>
      <c r="CW42" s="803">
        <f t="shared" si="51"/>
        <v>0</v>
      </c>
      <c r="CX42" s="755">
        <f t="shared" si="51"/>
        <v>0</v>
      </c>
      <c r="CY42" s="742">
        <f t="shared" si="51"/>
        <v>0</v>
      </c>
      <c r="CZ42" s="803">
        <f t="shared" si="51"/>
        <v>0</v>
      </c>
      <c r="DA42" s="755">
        <f t="shared" si="51"/>
        <v>0</v>
      </c>
      <c r="DB42" s="742">
        <f t="shared" si="51"/>
        <v>0</v>
      </c>
      <c r="DC42" s="803">
        <f t="shared" si="51"/>
        <v>19399</v>
      </c>
      <c r="DD42" s="755">
        <f t="shared" si="51"/>
        <v>19398</v>
      </c>
      <c r="DE42" s="742">
        <f t="shared" si="51"/>
        <v>0</v>
      </c>
      <c r="DF42" s="803">
        <f t="shared" si="51"/>
        <v>19399</v>
      </c>
      <c r="DG42" s="755">
        <f t="shared" si="51"/>
        <v>19398</v>
      </c>
      <c r="DH42" s="742">
        <f t="shared" si="51"/>
        <v>0</v>
      </c>
      <c r="DI42" s="803">
        <f t="shared" si="51"/>
        <v>12847</v>
      </c>
      <c r="DJ42" s="755">
        <f t="shared" si="51"/>
        <v>11131</v>
      </c>
      <c r="DK42" s="742">
        <f t="shared" si="51"/>
        <v>968206</v>
      </c>
      <c r="DL42" s="803">
        <f t="shared" si="51"/>
        <v>1059117</v>
      </c>
      <c r="DM42" s="755">
        <f t="shared" si="51"/>
        <v>1059117</v>
      </c>
      <c r="DN42" s="742">
        <f t="shared" si="51"/>
        <v>3116467</v>
      </c>
      <c r="DO42" s="803">
        <f t="shared" si="51"/>
        <v>3261142.5099999993</v>
      </c>
      <c r="DP42" s="755">
        <f t="shared" si="51"/>
        <v>3451644.5700000003</v>
      </c>
      <c r="DQ42" s="822">
        <f t="shared" si="32"/>
        <v>105.84157421565736</v>
      </c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  <c r="HJ42" s="154"/>
    </row>
    <row r="43" spans="1:218" ht="12.75" customHeight="1">
      <c r="A43" s="1472" t="s">
        <v>482</v>
      </c>
      <c r="B43" s="1475" t="s">
        <v>242</v>
      </c>
      <c r="C43" s="1968" t="s">
        <v>47</v>
      </c>
      <c r="D43" s="739">
        <f aca="true" t="shared" si="52" ref="D43:R43">ROUND(SUM(D44:D52),0)-D46-D47-D50-D52</f>
        <v>0</v>
      </c>
      <c r="E43" s="800">
        <f t="shared" si="52"/>
        <v>0</v>
      </c>
      <c r="F43" s="752">
        <f t="shared" si="52"/>
        <v>0</v>
      </c>
      <c r="G43" s="739">
        <f t="shared" si="52"/>
        <v>0</v>
      </c>
      <c r="H43" s="800">
        <f t="shared" si="52"/>
        <v>0</v>
      </c>
      <c r="I43" s="752">
        <f t="shared" si="52"/>
        <v>0</v>
      </c>
      <c r="J43" s="739">
        <f t="shared" si="52"/>
        <v>0</v>
      </c>
      <c r="K43" s="800">
        <f t="shared" si="52"/>
        <v>0</v>
      </c>
      <c r="L43" s="752">
        <f t="shared" si="52"/>
        <v>0</v>
      </c>
      <c r="M43" s="739">
        <f t="shared" si="52"/>
        <v>0</v>
      </c>
      <c r="N43" s="800">
        <f t="shared" si="52"/>
        <v>0</v>
      </c>
      <c r="O43" s="752">
        <f t="shared" si="52"/>
        <v>0</v>
      </c>
      <c r="P43" s="739">
        <f t="shared" si="52"/>
        <v>0</v>
      </c>
      <c r="Q43" s="800">
        <f t="shared" si="52"/>
        <v>844</v>
      </c>
      <c r="R43" s="752">
        <f t="shared" si="52"/>
        <v>844</v>
      </c>
      <c r="S43" s="739">
        <f>ROUND(SUM(S44:S52),0)-S46-S47-S50-S52</f>
        <v>50000</v>
      </c>
      <c r="T43" s="800">
        <f aca="true" t="shared" si="53" ref="T43:CE43">ROUND(SUM(T44:T52),0)-T46-T47-T50-T52</f>
        <v>52463.9</v>
      </c>
      <c r="U43" s="752">
        <f t="shared" si="53"/>
        <v>52464</v>
      </c>
      <c r="V43" s="739">
        <f t="shared" si="53"/>
        <v>161500</v>
      </c>
      <c r="W43" s="800">
        <f t="shared" si="53"/>
        <v>0</v>
      </c>
      <c r="X43" s="752">
        <f t="shared" si="53"/>
        <v>0</v>
      </c>
      <c r="Y43" s="739">
        <f>Y44+Y45+Y48+Y49+Y51</f>
        <v>215000</v>
      </c>
      <c r="Z43" s="800">
        <f>Z44+Z45+Z48+Z49+Z51</f>
        <v>119514.33600000001</v>
      </c>
      <c r="AA43" s="752">
        <f>AA44+AA45+AA48+AA49+AA51</f>
        <v>119714.82</v>
      </c>
      <c r="AB43" s="739">
        <f t="shared" si="53"/>
        <v>0</v>
      </c>
      <c r="AC43" s="800">
        <f t="shared" si="53"/>
        <v>0</v>
      </c>
      <c r="AD43" s="752">
        <f t="shared" si="53"/>
        <v>0</v>
      </c>
      <c r="AE43" s="739">
        <f t="shared" si="53"/>
        <v>0</v>
      </c>
      <c r="AF43" s="800">
        <f t="shared" si="53"/>
        <v>0</v>
      </c>
      <c r="AG43" s="752">
        <f t="shared" si="53"/>
        <v>0</v>
      </c>
      <c r="AH43" s="739">
        <f t="shared" si="53"/>
        <v>0</v>
      </c>
      <c r="AI43" s="800">
        <f t="shared" si="53"/>
        <v>0</v>
      </c>
      <c r="AJ43" s="752">
        <f t="shared" si="53"/>
        <v>0</v>
      </c>
      <c r="AK43" s="739">
        <f t="shared" si="53"/>
        <v>0</v>
      </c>
      <c r="AL43" s="800">
        <f t="shared" si="53"/>
        <v>0</v>
      </c>
      <c r="AM43" s="752">
        <f t="shared" si="53"/>
        <v>0</v>
      </c>
      <c r="AN43" s="739">
        <f t="shared" si="53"/>
        <v>0</v>
      </c>
      <c r="AO43" s="800">
        <f t="shared" si="53"/>
        <v>0</v>
      </c>
      <c r="AP43" s="752">
        <f t="shared" si="53"/>
        <v>0</v>
      </c>
      <c r="AQ43" s="739">
        <f t="shared" si="53"/>
        <v>0</v>
      </c>
      <c r="AR43" s="800">
        <f t="shared" si="53"/>
        <v>0</v>
      </c>
      <c r="AS43" s="752">
        <f t="shared" si="53"/>
        <v>0</v>
      </c>
      <c r="AT43" s="739">
        <f t="shared" si="53"/>
        <v>0</v>
      </c>
      <c r="AU43" s="800">
        <f t="shared" si="53"/>
        <v>0</v>
      </c>
      <c r="AV43" s="752">
        <f t="shared" si="53"/>
        <v>0</v>
      </c>
      <c r="AW43" s="739">
        <f>AW44+AW45+AW48+AW49+AW51</f>
        <v>0</v>
      </c>
      <c r="AX43" s="800">
        <f>AX44+AX45+AX48+AX49+AX51</f>
        <v>5646.967</v>
      </c>
      <c r="AY43" s="752">
        <f>AY44+AY45+AY48+AY49+AY51</f>
        <v>7370.584</v>
      </c>
      <c r="AZ43" s="739">
        <f t="shared" si="53"/>
        <v>0</v>
      </c>
      <c r="BA43" s="800">
        <f t="shared" si="53"/>
        <v>0</v>
      </c>
      <c r="BB43" s="752">
        <f t="shared" si="53"/>
        <v>0</v>
      </c>
      <c r="BC43" s="739">
        <f>BC44+BC45+BC48+BC49+BC51</f>
        <v>1721761</v>
      </c>
      <c r="BD43" s="800">
        <f>BD44+BD45+BD48+BD49+BD51</f>
        <v>1974448.286</v>
      </c>
      <c r="BE43" s="752">
        <f>BE44+BE45+BE48+BE49+BE51</f>
        <v>1990072.2449999999</v>
      </c>
      <c r="BF43" s="739">
        <f t="shared" si="53"/>
        <v>0</v>
      </c>
      <c r="BG43" s="800">
        <f t="shared" si="53"/>
        <v>0</v>
      </c>
      <c r="BH43" s="752">
        <f t="shared" si="53"/>
        <v>0</v>
      </c>
      <c r="BI43" s="739">
        <f t="shared" si="53"/>
        <v>2148261</v>
      </c>
      <c r="BJ43" s="800">
        <f t="shared" si="53"/>
        <v>2152917.51</v>
      </c>
      <c r="BK43" s="752">
        <f t="shared" si="53"/>
        <v>2170465.57</v>
      </c>
      <c r="BL43" s="739">
        <f t="shared" si="53"/>
        <v>0</v>
      </c>
      <c r="BM43" s="800">
        <f t="shared" si="53"/>
        <v>0</v>
      </c>
      <c r="BN43" s="752">
        <f t="shared" si="53"/>
        <v>0</v>
      </c>
      <c r="BO43" s="739">
        <f t="shared" si="53"/>
        <v>0</v>
      </c>
      <c r="BP43" s="800">
        <f t="shared" si="53"/>
        <v>0</v>
      </c>
      <c r="BQ43" s="752">
        <f t="shared" si="53"/>
        <v>0</v>
      </c>
      <c r="BR43" s="739">
        <f t="shared" si="53"/>
        <v>0</v>
      </c>
      <c r="BS43" s="800">
        <f t="shared" si="53"/>
        <v>0</v>
      </c>
      <c r="BT43" s="752">
        <f t="shared" si="53"/>
        <v>0</v>
      </c>
      <c r="BU43" s="739">
        <f t="shared" si="53"/>
        <v>0</v>
      </c>
      <c r="BV43" s="800">
        <f t="shared" si="53"/>
        <v>0</v>
      </c>
      <c r="BW43" s="752">
        <f t="shared" si="53"/>
        <v>0</v>
      </c>
      <c r="BX43" s="739">
        <f t="shared" si="53"/>
        <v>0</v>
      </c>
      <c r="BY43" s="800">
        <f t="shared" si="53"/>
        <v>0</v>
      </c>
      <c r="BZ43" s="752">
        <f t="shared" si="53"/>
        <v>0</v>
      </c>
      <c r="CA43" s="739">
        <f t="shared" si="53"/>
        <v>0</v>
      </c>
      <c r="CB43" s="800">
        <f t="shared" si="53"/>
        <v>0</v>
      </c>
      <c r="CC43" s="752">
        <f t="shared" si="53"/>
        <v>0</v>
      </c>
      <c r="CD43" s="739">
        <f t="shared" si="53"/>
        <v>0</v>
      </c>
      <c r="CE43" s="800">
        <f t="shared" si="53"/>
        <v>1500</v>
      </c>
      <c r="CF43" s="752">
        <f aca="true" t="shared" si="54" ref="CF43:DP43">ROUND(SUM(CF44:CF52),0)-CF46-CF47-CF50-CF52</f>
        <v>1500</v>
      </c>
      <c r="CG43" s="739">
        <f t="shared" si="54"/>
        <v>0</v>
      </c>
      <c r="CH43" s="800">
        <f t="shared" si="54"/>
        <v>0</v>
      </c>
      <c r="CI43" s="752">
        <f t="shared" si="54"/>
        <v>0</v>
      </c>
      <c r="CJ43" s="739">
        <f t="shared" si="54"/>
        <v>0</v>
      </c>
      <c r="CK43" s="800">
        <f t="shared" si="54"/>
        <v>15362</v>
      </c>
      <c r="CL43" s="752">
        <f t="shared" si="54"/>
        <v>190033</v>
      </c>
      <c r="CM43" s="739">
        <f t="shared" si="54"/>
        <v>0</v>
      </c>
      <c r="CN43" s="800">
        <f t="shared" si="54"/>
        <v>16862</v>
      </c>
      <c r="CO43" s="752">
        <f t="shared" si="54"/>
        <v>191533</v>
      </c>
      <c r="CP43" s="739">
        <f t="shared" si="54"/>
        <v>2148261</v>
      </c>
      <c r="CQ43" s="800">
        <f t="shared" si="54"/>
        <v>2169779.51</v>
      </c>
      <c r="CR43" s="752">
        <f t="shared" si="54"/>
        <v>2361998.57</v>
      </c>
      <c r="CS43" s="739">
        <f t="shared" si="54"/>
        <v>0</v>
      </c>
      <c r="CT43" s="800">
        <f t="shared" si="54"/>
        <v>0</v>
      </c>
      <c r="CU43" s="752">
        <f t="shared" si="54"/>
        <v>0</v>
      </c>
      <c r="CV43" s="739">
        <f t="shared" si="54"/>
        <v>0</v>
      </c>
      <c r="CW43" s="800">
        <f t="shared" si="54"/>
        <v>0</v>
      </c>
      <c r="CX43" s="752">
        <f t="shared" si="54"/>
        <v>0</v>
      </c>
      <c r="CY43" s="739">
        <f t="shared" si="54"/>
        <v>0</v>
      </c>
      <c r="CZ43" s="800">
        <f t="shared" si="54"/>
        <v>0</v>
      </c>
      <c r="DA43" s="752">
        <f t="shared" si="54"/>
        <v>0</v>
      </c>
      <c r="DB43" s="739">
        <f t="shared" si="54"/>
        <v>0</v>
      </c>
      <c r="DC43" s="800">
        <f t="shared" si="54"/>
        <v>19399</v>
      </c>
      <c r="DD43" s="752">
        <f t="shared" si="54"/>
        <v>19398</v>
      </c>
      <c r="DE43" s="739">
        <f t="shared" si="54"/>
        <v>0</v>
      </c>
      <c r="DF43" s="800">
        <f t="shared" si="54"/>
        <v>19399</v>
      </c>
      <c r="DG43" s="752">
        <f t="shared" si="54"/>
        <v>19398</v>
      </c>
      <c r="DH43" s="739">
        <f t="shared" si="54"/>
        <v>0</v>
      </c>
      <c r="DI43" s="800">
        <f t="shared" si="54"/>
        <v>12847</v>
      </c>
      <c r="DJ43" s="752">
        <f t="shared" si="54"/>
        <v>11131</v>
      </c>
      <c r="DK43" s="739">
        <f t="shared" si="54"/>
        <v>968206</v>
      </c>
      <c r="DL43" s="800">
        <f t="shared" si="54"/>
        <v>1059117</v>
      </c>
      <c r="DM43" s="752">
        <f t="shared" si="54"/>
        <v>1059117</v>
      </c>
      <c r="DN43" s="739">
        <f t="shared" si="54"/>
        <v>3116467</v>
      </c>
      <c r="DO43" s="800">
        <f>ROUND(SUM(DO44:DO52),0)-DO46-DO47-DO50-DO52</f>
        <v>3261142.5099999993</v>
      </c>
      <c r="DP43" s="752">
        <f t="shared" si="54"/>
        <v>3451644.5700000003</v>
      </c>
      <c r="DQ43" s="822">
        <f t="shared" si="32"/>
        <v>105.84157421565736</v>
      </c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  <c r="FK43" s="154"/>
      <c r="FL43" s="154"/>
      <c r="FM43" s="154"/>
      <c r="FN43" s="154"/>
      <c r="FO43" s="154"/>
      <c r="FP43" s="154"/>
      <c r="FQ43" s="154"/>
      <c r="FR43" s="154"/>
      <c r="FS43" s="154"/>
      <c r="FT43" s="154"/>
      <c r="FU43" s="154"/>
      <c r="FV43" s="154"/>
      <c r="FW43" s="154"/>
      <c r="FX43" s="154"/>
      <c r="FY43" s="154"/>
      <c r="FZ43" s="154"/>
      <c r="GA43" s="154"/>
      <c r="GB43" s="154"/>
      <c r="GC43" s="154"/>
      <c r="GD43" s="154"/>
      <c r="GE43" s="154"/>
      <c r="GF43" s="154"/>
      <c r="GG43" s="154"/>
      <c r="GH43" s="154"/>
      <c r="GI43" s="154"/>
      <c r="GJ43" s="154"/>
      <c r="GK43" s="154"/>
      <c r="GL43" s="154"/>
      <c r="GM43" s="154"/>
      <c r="GN43" s="154"/>
      <c r="GO43" s="154"/>
      <c r="GP43" s="154"/>
      <c r="GQ43" s="154"/>
      <c r="GR43" s="154"/>
      <c r="GS43" s="154"/>
      <c r="GT43" s="154"/>
      <c r="GU43" s="154"/>
      <c r="GV43" s="154"/>
      <c r="GW43" s="154"/>
      <c r="GX43" s="154"/>
      <c r="GY43" s="154"/>
      <c r="GZ43" s="154"/>
      <c r="HA43" s="154"/>
      <c r="HB43" s="154"/>
      <c r="HC43" s="154"/>
      <c r="HD43" s="154"/>
      <c r="HE43" s="154"/>
      <c r="HF43" s="154"/>
      <c r="HG43" s="154"/>
      <c r="HH43" s="154"/>
      <c r="HI43" s="154"/>
      <c r="HJ43" s="154"/>
    </row>
    <row r="44" spans="1:232" s="149" customFormat="1" ht="12.75" customHeight="1">
      <c r="A44" s="1473" t="s">
        <v>908</v>
      </c>
      <c r="B44" s="773" t="s">
        <v>243</v>
      </c>
      <c r="C44" s="1969" t="s">
        <v>181</v>
      </c>
      <c r="D44" s="740"/>
      <c r="E44" s="804"/>
      <c r="F44" s="756"/>
      <c r="G44" s="740"/>
      <c r="H44" s="804"/>
      <c r="I44" s="756"/>
      <c r="J44" s="740"/>
      <c r="K44" s="804"/>
      <c r="L44" s="756"/>
      <c r="M44" s="740"/>
      <c r="N44" s="804"/>
      <c r="O44" s="756"/>
      <c r="P44" s="740"/>
      <c r="Q44" s="804"/>
      <c r="R44" s="756"/>
      <c r="S44" s="740"/>
      <c r="T44" s="804"/>
      <c r="U44" s="756"/>
      <c r="V44" s="740"/>
      <c r="W44" s="804"/>
      <c r="X44" s="756"/>
      <c r="Y44" s="740">
        <v>120704</v>
      </c>
      <c r="Z44" s="1995">
        <v>106616.736</v>
      </c>
      <c r="AA44" s="1996">
        <v>106616.252</v>
      </c>
      <c r="AB44" s="740"/>
      <c r="AC44" s="804"/>
      <c r="AD44" s="756"/>
      <c r="AE44" s="740"/>
      <c r="AF44" s="804"/>
      <c r="AG44" s="756"/>
      <c r="AH44" s="740"/>
      <c r="AI44" s="804"/>
      <c r="AJ44" s="756"/>
      <c r="AK44" s="740"/>
      <c r="AL44" s="804"/>
      <c r="AM44" s="756"/>
      <c r="AN44" s="740"/>
      <c r="AO44" s="804"/>
      <c r="AP44" s="756"/>
      <c r="AQ44" s="740"/>
      <c r="AR44" s="804"/>
      <c r="AS44" s="756"/>
      <c r="AT44" s="740"/>
      <c r="AU44" s="804"/>
      <c r="AV44" s="756"/>
      <c r="AW44" s="740"/>
      <c r="AX44" s="804"/>
      <c r="AY44" s="756"/>
      <c r="AZ44" s="740"/>
      <c r="BA44" s="804"/>
      <c r="BB44" s="756"/>
      <c r="BC44" s="740">
        <v>1721761</v>
      </c>
      <c r="BD44" s="804">
        <v>1739276.276</v>
      </c>
      <c r="BE44" s="756">
        <v>1739276.276</v>
      </c>
      <c r="BF44" s="740"/>
      <c r="BG44" s="804"/>
      <c r="BH44" s="756"/>
      <c r="BI44" s="740">
        <f aca="true" t="shared" si="55" ref="BI44:BI52">D44+G44+J44+M44+P44+S44+V44+Y44+AB44+AE44+AH44+AK44+AN44+AQ44+AT44+AW44+AZ44+BC44+BF44</f>
        <v>1842465</v>
      </c>
      <c r="BJ44" s="804">
        <f aca="true" t="shared" si="56" ref="BJ44:BJ52">E44+H44+K44+N44+Q44+T44+W44+Z44+AC44+AF44+AI44+AL44+AO44+AR44+AU44+AX44+BA44+BD44+BG44</f>
        <v>1845893.012</v>
      </c>
      <c r="BK44" s="756">
        <f aca="true" t="shared" si="57" ref="BK44:BK52">F44+I44+L44+O44+R44+U44+X44+AA44+AD44+AG44+AJ44+AM44+AP44+AS44+AV44+AY44+BB44+BE44+BH44</f>
        <v>1845892.5280000002</v>
      </c>
      <c r="BL44" s="743"/>
      <c r="BM44" s="804"/>
      <c r="BN44" s="756"/>
      <c r="BO44" s="743"/>
      <c r="BP44" s="804"/>
      <c r="BQ44" s="756"/>
      <c r="BR44" s="743"/>
      <c r="BS44" s="804"/>
      <c r="BT44" s="756"/>
      <c r="BU44" s="743"/>
      <c r="BV44" s="804"/>
      <c r="BW44" s="756"/>
      <c r="BX44" s="743"/>
      <c r="BY44" s="804"/>
      <c r="BZ44" s="756"/>
      <c r="CA44" s="743"/>
      <c r="CB44" s="804"/>
      <c r="CC44" s="756"/>
      <c r="CD44" s="743"/>
      <c r="CE44" s="804"/>
      <c r="CF44" s="756"/>
      <c r="CG44" s="743"/>
      <c r="CH44" s="804"/>
      <c r="CI44" s="756"/>
      <c r="CJ44" s="743"/>
      <c r="CK44" s="804"/>
      <c r="CL44" s="756"/>
      <c r="CM44" s="743">
        <f aca="true" t="shared" si="58" ref="CM44:CM52">BL44+BO44+BR44+BU44+BX44+CA44+CD44+CG44+CJ44</f>
        <v>0</v>
      </c>
      <c r="CN44" s="804">
        <f aca="true" t="shared" si="59" ref="CN44:CN52">BM44+BP44+BS44+BV44+BY44+CB44+CE44+CH44+CK44</f>
        <v>0</v>
      </c>
      <c r="CO44" s="756">
        <f aca="true" t="shared" si="60" ref="CO44:CO52">BN44+BQ44+BT44+BW44+BZ44+CC44+CF44+CI44+CL44</f>
        <v>0</v>
      </c>
      <c r="CP44" s="743">
        <f aca="true" t="shared" si="61" ref="CP44:CP85">BI44+CM44</f>
        <v>1842465</v>
      </c>
      <c r="CQ44" s="804">
        <f aca="true" t="shared" si="62" ref="CQ44:CQ85">BJ44+CN44</f>
        <v>1845893.012</v>
      </c>
      <c r="CR44" s="756">
        <f aca="true" t="shared" si="63" ref="CR44:CR85">BK44+CO44</f>
        <v>1845892.5280000002</v>
      </c>
      <c r="CS44" s="743"/>
      <c r="CT44" s="804"/>
      <c r="CU44" s="756"/>
      <c r="CV44" s="743"/>
      <c r="CW44" s="804"/>
      <c r="CX44" s="756"/>
      <c r="CY44" s="743"/>
      <c r="CZ44" s="804"/>
      <c r="DA44" s="756"/>
      <c r="DB44" s="743"/>
      <c r="DC44" s="804"/>
      <c r="DD44" s="756"/>
      <c r="DE44" s="743">
        <f aca="true" t="shared" si="64" ref="DE44:DE52">CS44+CV44+CY44+DB44</f>
        <v>0</v>
      </c>
      <c r="DF44" s="804">
        <f aca="true" t="shared" si="65" ref="DF44:DF52">CT44+CW44+CZ44+DC44</f>
        <v>0</v>
      </c>
      <c r="DG44" s="756">
        <f aca="true" t="shared" si="66" ref="DG44:DG52">CU44+CX44+DA44+DD44</f>
        <v>0</v>
      </c>
      <c r="DH44" s="743"/>
      <c r="DI44" s="804"/>
      <c r="DJ44" s="756"/>
      <c r="DK44" s="743"/>
      <c r="DL44" s="804"/>
      <c r="DM44" s="756"/>
      <c r="DN44" s="743">
        <f aca="true" t="shared" si="67" ref="DN44:DN52">CP44+DE44+DH44+DK44</f>
        <v>1842465</v>
      </c>
      <c r="DO44" s="804">
        <f aca="true" t="shared" si="68" ref="DO44:DO52">CQ44+DF44+DI44+DL44</f>
        <v>1845893.012</v>
      </c>
      <c r="DP44" s="756">
        <f aca="true" t="shared" si="69" ref="DP44:DP52">CR44+DG44+DJ44+DM44</f>
        <v>1845892.5280000002</v>
      </c>
      <c r="DQ44" s="823">
        <f aca="true" t="shared" si="70" ref="DQ44:DQ58">DP44/DO44*100</f>
        <v>99.99997377962879</v>
      </c>
      <c r="DR44" s="643"/>
      <c r="DS44" s="643"/>
      <c r="DT44" s="643"/>
      <c r="DU44" s="643"/>
      <c r="DV44" s="643"/>
      <c r="DW44" s="643"/>
      <c r="DX44" s="643"/>
      <c r="DY44" s="643"/>
      <c r="DZ44" s="643"/>
      <c r="EA44" s="643"/>
      <c r="EB44" s="643"/>
      <c r="EC44" s="643"/>
      <c r="ED44" s="643"/>
      <c r="EE44" s="643"/>
      <c r="EF44" s="643"/>
      <c r="EG44" s="643"/>
      <c r="EH44" s="643"/>
      <c r="EI44" s="643"/>
      <c r="EJ44" s="643"/>
      <c r="EK44" s="643"/>
      <c r="EL44" s="643"/>
      <c r="EM44" s="643"/>
      <c r="EN44" s="643"/>
      <c r="EO44" s="643"/>
      <c r="EP44" s="643"/>
      <c r="EQ44" s="643"/>
      <c r="ER44" s="643"/>
      <c r="ES44" s="643"/>
      <c r="ET44" s="643"/>
      <c r="EU44" s="643"/>
      <c r="EV44" s="643"/>
      <c r="EW44" s="643"/>
      <c r="EX44" s="643"/>
      <c r="EY44" s="643"/>
      <c r="EZ44" s="643"/>
      <c r="FA44" s="643"/>
      <c r="FB44" s="643"/>
      <c r="FC44" s="643"/>
      <c r="FD44" s="643"/>
      <c r="FE44" s="643"/>
      <c r="FF44" s="643"/>
      <c r="FG44" s="643"/>
      <c r="FH44" s="643"/>
      <c r="FI44" s="643"/>
      <c r="FJ44" s="643"/>
      <c r="FK44" s="643"/>
      <c r="FL44" s="643"/>
      <c r="FM44" s="643"/>
      <c r="FN44" s="643"/>
      <c r="FO44" s="643"/>
      <c r="FP44" s="643"/>
      <c r="FQ44" s="643"/>
      <c r="FR44" s="643"/>
      <c r="FS44" s="643"/>
      <c r="FT44" s="643"/>
      <c r="FU44" s="643"/>
      <c r="FV44" s="643"/>
      <c r="FW44" s="643"/>
      <c r="FX44" s="643"/>
      <c r="FY44" s="643"/>
      <c r="FZ44" s="643"/>
      <c r="GA44" s="643"/>
      <c r="GB44" s="643"/>
      <c r="GC44" s="643"/>
      <c r="GD44" s="643"/>
      <c r="GE44" s="643"/>
      <c r="GF44" s="643"/>
      <c r="GG44" s="643"/>
      <c r="GH44" s="643"/>
      <c r="GI44" s="643"/>
      <c r="GJ44" s="643"/>
      <c r="GK44" s="643"/>
      <c r="GL44" s="643"/>
      <c r="GM44" s="643"/>
      <c r="GN44" s="643"/>
      <c r="GO44" s="643"/>
      <c r="GP44" s="643"/>
      <c r="GQ44" s="643"/>
      <c r="GR44" s="643"/>
      <c r="GS44" s="643"/>
      <c r="GT44" s="643"/>
      <c r="GU44" s="643"/>
      <c r="GV44" s="643"/>
      <c r="GW44" s="643"/>
      <c r="GX44" s="643"/>
      <c r="GY44" s="643"/>
      <c r="GZ44" s="643"/>
      <c r="HA44" s="643"/>
      <c r="HB44" s="643"/>
      <c r="HC44" s="643"/>
      <c r="HD44" s="643"/>
      <c r="HE44" s="643"/>
      <c r="HF44" s="643"/>
      <c r="HG44" s="643"/>
      <c r="HH44" s="643"/>
      <c r="HI44" s="643"/>
      <c r="HJ44" s="643"/>
      <c r="HK44" s="643"/>
      <c r="HL44" s="643"/>
      <c r="HM44" s="643"/>
      <c r="HN44" s="643"/>
      <c r="HO44" s="643"/>
      <c r="HP44" s="643"/>
      <c r="HQ44" s="643"/>
      <c r="HR44" s="643"/>
      <c r="HS44" s="643"/>
      <c r="HT44" s="643"/>
      <c r="HU44" s="643"/>
      <c r="HV44" s="643"/>
      <c r="HW44" s="643"/>
      <c r="HX44" s="643"/>
    </row>
    <row r="45" spans="1:232" s="147" customFormat="1" ht="12.75" customHeight="1">
      <c r="A45" s="1473" t="s">
        <v>909</v>
      </c>
      <c r="B45" s="1476" t="s">
        <v>244</v>
      </c>
      <c r="C45" s="1969"/>
      <c r="D45" s="743"/>
      <c r="E45" s="804"/>
      <c r="F45" s="756"/>
      <c r="G45" s="743"/>
      <c r="H45" s="804"/>
      <c r="I45" s="756"/>
      <c r="J45" s="743"/>
      <c r="K45" s="804"/>
      <c r="L45" s="756"/>
      <c r="M45" s="743"/>
      <c r="N45" s="804"/>
      <c r="O45" s="756"/>
      <c r="P45" s="743"/>
      <c r="Q45" s="804"/>
      <c r="R45" s="756"/>
      <c r="S45" s="743"/>
      <c r="T45" s="804"/>
      <c r="U45" s="756"/>
      <c r="V45" s="743"/>
      <c r="W45" s="804"/>
      <c r="X45" s="756"/>
      <c r="Y45" s="743"/>
      <c r="Z45" s="804">
        <f>SUM(Z46:Z47)</f>
        <v>5805.8</v>
      </c>
      <c r="AA45" s="756">
        <f>SUM(AA46:AA47)</f>
        <v>5805.8</v>
      </c>
      <c r="AB45" s="743"/>
      <c r="AC45" s="804"/>
      <c r="AD45" s="756"/>
      <c r="AE45" s="743"/>
      <c r="AF45" s="804"/>
      <c r="AG45" s="756"/>
      <c r="AH45" s="743"/>
      <c r="AI45" s="804"/>
      <c r="AJ45" s="756"/>
      <c r="AK45" s="743"/>
      <c r="AL45" s="804"/>
      <c r="AM45" s="756"/>
      <c r="AN45" s="743"/>
      <c r="AO45" s="804"/>
      <c r="AP45" s="756"/>
      <c r="AQ45" s="743"/>
      <c r="AR45" s="804"/>
      <c r="AS45" s="756"/>
      <c r="AT45" s="743"/>
      <c r="AU45" s="804"/>
      <c r="AV45" s="756"/>
      <c r="AW45" s="743"/>
      <c r="AX45" s="804"/>
      <c r="AY45" s="756"/>
      <c r="AZ45" s="743"/>
      <c r="BA45" s="804"/>
      <c r="BB45" s="756"/>
      <c r="BC45" s="743">
        <f>SUM(BC46:BC47)</f>
        <v>0</v>
      </c>
      <c r="BD45" s="804">
        <f>SUM(BD46:BD47)</f>
        <v>235067.59</v>
      </c>
      <c r="BE45" s="756">
        <f>SUM(BE46:BE47)</f>
        <v>235067.63</v>
      </c>
      <c r="BF45" s="743"/>
      <c r="BG45" s="804"/>
      <c r="BH45" s="756"/>
      <c r="BI45" s="743">
        <f t="shared" si="55"/>
        <v>0</v>
      </c>
      <c r="BJ45" s="804">
        <f t="shared" si="56"/>
        <v>240873.38999999998</v>
      </c>
      <c r="BK45" s="756">
        <f t="shared" si="57"/>
        <v>240873.43</v>
      </c>
      <c r="BL45" s="743"/>
      <c r="BM45" s="804"/>
      <c r="BN45" s="756"/>
      <c r="BO45" s="743"/>
      <c r="BP45" s="804"/>
      <c r="BQ45" s="756"/>
      <c r="BR45" s="743"/>
      <c r="BS45" s="804"/>
      <c r="BT45" s="756"/>
      <c r="BU45" s="743"/>
      <c r="BV45" s="804"/>
      <c r="BW45" s="756"/>
      <c r="BX45" s="743"/>
      <c r="BY45" s="804"/>
      <c r="BZ45" s="756"/>
      <c r="CA45" s="743"/>
      <c r="CB45" s="804"/>
      <c r="CC45" s="756"/>
      <c r="CD45" s="743"/>
      <c r="CE45" s="804"/>
      <c r="CF45" s="756"/>
      <c r="CG45" s="743"/>
      <c r="CH45" s="804"/>
      <c r="CI45" s="756"/>
      <c r="CJ45" s="743"/>
      <c r="CK45" s="804"/>
      <c r="CL45" s="756"/>
      <c r="CM45" s="743">
        <f t="shared" si="58"/>
        <v>0</v>
      </c>
      <c r="CN45" s="804">
        <f t="shared" si="59"/>
        <v>0</v>
      </c>
      <c r="CO45" s="756">
        <f t="shared" si="60"/>
        <v>0</v>
      </c>
      <c r="CP45" s="743">
        <f t="shared" si="61"/>
        <v>0</v>
      </c>
      <c r="CQ45" s="804">
        <f t="shared" si="62"/>
        <v>240873.38999999998</v>
      </c>
      <c r="CR45" s="756">
        <f t="shared" si="63"/>
        <v>240873.43</v>
      </c>
      <c r="CS45" s="743"/>
      <c r="CT45" s="804"/>
      <c r="CU45" s="756"/>
      <c r="CV45" s="743"/>
      <c r="CW45" s="804"/>
      <c r="CX45" s="756"/>
      <c r="CY45" s="743"/>
      <c r="CZ45" s="804"/>
      <c r="DA45" s="756"/>
      <c r="DB45" s="743"/>
      <c r="DC45" s="804"/>
      <c r="DD45" s="756"/>
      <c r="DE45" s="743">
        <f t="shared" si="64"/>
        <v>0</v>
      </c>
      <c r="DF45" s="804">
        <f t="shared" si="65"/>
        <v>0</v>
      </c>
      <c r="DG45" s="756">
        <f t="shared" si="66"/>
        <v>0</v>
      </c>
      <c r="DH45" s="743"/>
      <c r="DI45" s="804"/>
      <c r="DJ45" s="756"/>
      <c r="DK45" s="743"/>
      <c r="DL45" s="804"/>
      <c r="DM45" s="756"/>
      <c r="DN45" s="743">
        <f t="shared" si="67"/>
        <v>0</v>
      </c>
      <c r="DO45" s="804">
        <f t="shared" si="68"/>
        <v>240873.38999999998</v>
      </c>
      <c r="DP45" s="756">
        <f t="shared" si="69"/>
        <v>240873.43</v>
      </c>
      <c r="DQ45" s="823">
        <f t="shared" si="70"/>
        <v>100.0000166062345</v>
      </c>
      <c r="DR45" s="642"/>
      <c r="DS45" s="642"/>
      <c r="DT45" s="642"/>
      <c r="DU45" s="642"/>
      <c r="DV45" s="642"/>
      <c r="DW45" s="642"/>
      <c r="DX45" s="642"/>
      <c r="DY45" s="642"/>
      <c r="DZ45" s="642"/>
      <c r="EA45" s="642"/>
      <c r="EB45" s="642"/>
      <c r="EC45" s="642"/>
      <c r="ED45" s="642"/>
      <c r="EE45" s="642"/>
      <c r="EF45" s="642"/>
      <c r="EG45" s="642"/>
      <c r="EH45" s="642"/>
      <c r="EI45" s="642"/>
      <c r="EJ45" s="642"/>
      <c r="EK45" s="642"/>
      <c r="EL45" s="642"/>
      <c r="EM45" s="642"/>
      <c r="EN45" s="642"/>
      <c r="EO45" s="642"/>
      <c r="EP45" s="642"/>
      <c r="EQ45" s="642"/>
      <c r="ER45" s="642"/>
      <c r="ES45" s="642"/>
      <c r="ET45" s="642"/>
      <c r="EU45" s="642"/>
      <c r="EV45" s="642"/>
      <c r="EW45" s="642"/>
      <c r="EX45" s="642"/>
      <c r="EY45" s="642"/>
      <c r="EZ45" s="642"/>
      <c r="FA45" s="642"/>
      <c r="FB45" s="642"/>
      <c r="FC45" s="642"/>
      <c r="FD45" s="642"/>
      <c r="FE45" s="642"/>
      <c r="FF45" s="642"/>
      <c r="FG45" s="642"/>
      <c r="FH45" s="642"/>
      <c r="FI45" s="642"/>
      <c r="FJ45" s="642"/>
      <c r="FK45" s="642"/>
      <c r="FL45" s="642"/>
      <c r="FM45" s="642"/>
      <c r="FN45" s="642"/>
      <c r="FO45" s="642"/>
      <c r="FP45" s="642"/>
      <c r="FQ45" s="642"/>
      <c r="FR45" s="642"/>
      <c r="FS45" s="642"/>
      <c r="FT45" s="642"/>
      <c r="FU45" s="642"/>
      <c r="FV45" s="642"/>
      <c r="FW45" s="642"/>
      <c r="FX45" s="642"/>
      <c r="FY45" s="642"/>
      <c r="FZ45" s="642"/>
      <c r="GA45" s="642"/>
      <c r="GB45" s="642"/>
      <c r="GC45" s="642"/>
      <c r="GD45" s="642"/>
      <c r="GE45" s="642"/>
      <c r="GF45" s="642"/>
      <c r="GG45" s="642"/>
      <c r="GH45" s="642"/>
      <c r="GI45" s="642"/>
      <c r="GJ45" s="642"/>
      <c r="GK45" s="642"/>
      <c r="GL45" s="642"/>
      <c r="GM45" s="642"/>
      <c r="GN45" s="642"/>
      <c r="GO45" s="642"/>
      <c r="GP45" s="642"/>
      <c r="GQ45" s="642"/>
      <c r="GR45" s="642"/>
      <c r="GS45" s="642"/>
      <c r="GT45" s="642"/>
      <c r="GU45" s="642"/>
      <c r="GV45" s="642"/>
      <c r="GW45" s="642"/>
      <c r="GX45" s="642"/>
      <c r="GY45" s="642"/>
      <c r="GZ45" s="642"/>
      <c r="HA45" s="642"/>
      <c r="HB45" s="642"/>
      <c r="HC45" s="642"/>
      <c r="HD45" s="642"/>
      <c r="HE45" s="642"/>
      <c r="HF45" s="642"/>
      <c r="HG45" s="642"/>
      <c r="HH45" s="642"/>
      <c r="HI45" s="642"/>
      <c r="HJ45" s="642"/>
      <c r="HK45" s="642"/>
      <c r="HL45" s="642"/>
      <c r="HM45" s="642"/>
      <c r="HN45" s="642"/>
      <c r="HO45" s="642"/>
      <c r="HP45" s="642"/>
      <c r="HQ45" s="642"/>
      <c r="HR45" s="642"/>
      <c r="HS45" s="642"/>
      <c r="HT45" s="642"/>
      <c r="HU45" s="642"/>
      <c r="HV45" s="642"/>
      <c r="HW45" s="642"/>
      <c r="HX45" s="642"/>
    </row>
    <row r="46" spans="1:218" ht="12.75" customHeight="1">
      <c r="A46" s="1473"/>
      <c r="B46" s="772" t="s">
        <v>245</v>
      </c>
      <c r="C46" s="1970">
        <v>944</v>
      </c>
      <c r="D46" s="741"/>
      <c r="E46" s="805"/>
      <c r="F46" s="757"/>
      <c r="G46" s="741"/>
      <c r="H46" s="805"/>
      <c r="I46" s="757"/>
      <c r="J46" s="741"/>
      <c r="K46" s="805"/>
      <c r="L46" s="757"/>
      <c r="M46" s="741"/>
      <c r="N46" s="805"/>
      <c r="O46" s="757"/>
      <c r="P46" s="741"/>
      <c r="Q46" s="805"/>
      <c r="R46" s="757"/>
      <c r="S46" s="741"/>
      <c r="T46" s="805"/>
      <c r="U46" s="757"/>
      <c r="V46" s="741"/>
      <c r="W46" s="805"/>
      <c r="X46" s="757"/>
      <c r="Y46" s="741"/>
      <c r="Z46" s="805">
        <v>5805.8</v>
      </c>
      <c r="AA46" s="757">
        <v>5805.8</v>
      </c>
      <c r="AB46" s="741"/>
      <c r="AC46" s="805"/>
      <c r="AD46" s="757"/>
      <c r="AE46" s="741"/>
      <c r="AF46" s="805"/>
      <c r="AG46" s="757"/>
      <c r="AH46" s="741"/>
      <c r="AI46" s="805"/>
      <c r="AJ46" s="757"/>
      <c r="AK46" s="741"/>
      <c r="AL46" s="805"/>
      <c r="AM46" s="757"/>
      <c r="AN46" s="741"/>
      <c r="AO46" s="805"/>
      <c r="AP46" s="757"/>
      <c r="AQ46" s="741"/>
      <c r="AR46" s="805"/>
      <c r="AS46" s="757"/>
      <c r="AT46" s="741"/>
      <c r="AU46" s="805"/>
      <c r="AV46" s="757"/>
      <c r="AW46" s="741"/>
      <c r="AX46" s="805"/>
      <c r="AY46" s="757"/>
      <c r="AZ46" s="741"/>
      <c r="BA46" s="805"/>
      <c r="BB46" s="757"/>
      <c r="BC46" s="741"/>
      <c r="BD46" s="805">
        <v>169416.055</v>
      </c>
      <c r="BE46" s="757">
        <v>169416.095</v>
      </c>
      <c r="BF46" s="741"/>
      <c r="BG46" s="805"/>
      <c r="BH46" s="757"/>
      <c r="BI46" s="741">
        <f t="shared" si="55"/>
        <v>0</v>
      </c>
      <c r="BJ46" s="805">
        <f t="shared" si="56"/>
        <v>175221.85499999998</v>
      </c>
      <c r="BK46" s="757">
        <f t="shared" si="57"/>
        <v>175221.895</v>
      </c>
      <c r="BL46" s="744"/>
      <c r="BM46" s="805"/>
      <c r="BN46" s="757"/>
      <c r="BO46" s="744"/>
      <c r="BP46" s="805"/>
      <c r="BQ46" s="757"/>
      <c r="BR46" s="744"/>
      <c r="BS46" s="805"/>
      <c r="BT46" s="757"/>
      <c r="BU46" s="744"/>
      <c r="BV46" s="805"/>
      <c r="BW46" s="757"/>
      <c r="BX46" s="744"/>
      <c r="BY46" s="805"/>
      <c r="BZ46" s="757"/>
      <c r="CA46" s="744"/>
      <c r="CB46" s="805"/>
      <c r="CC46" s="757"/>
      <c r="CD46" s="744"/>
      <c r="CE46" s="805"/>
      <c r="CF46" s="757"/>
      <c r="CG46" s="744"/>
      <c r="CH46" s="805"/>
      <c r="CI46" s="757"/>
      <c r="CJ46" s="744"/>
      <c r="CK46" s="805"/>
      <c r="CL46" s="757"/>
      <c r="CM46" s="744">
        <f t="shared" si="58"/>
        <v>0</v>
      </c>
      <c r="CN46" s="805">
        <f t="shared" si="59"/>
        <v>0</v>
      </c>
      <c r="CO46" s="757">
        <f t="shared" si="60"/>
        <v>0</v>
      </c>
      <c r="CP46" s="744">
        <f t="shared" si="61"/>
        <v>0</v>
      </c>
      <c r="CQ46" s="805">
        <f t="shared" si="62"/>
        <v>175221.85499999998</v>
      </c>
      <c r="CR46" s="757">
        <f t="shared" si="63"/>
        <v>175221.895</v>
      </c>
      <c r="CS46" s="744"/>
      <c r="CT46" s="805"/>
      <c r="CU46" s="757"/>
      <c r="CV46" s="744"/>
      <c r="CW46" s="805"/>
      <c r="CX46" s="757"/>
      <c r="CY46" s="744"/>
      <c r="CZ46" s="805"/>
      <c r="DA46" s="757"/>
      <c r="DB46" s="744"/>
      <c r="DC46" s="805"/>
      <c r="DD46" s="757"/>
      <c r="DE46" s="744">
        <f t="shared" si="64"/>
        <v>0</v>
      </c>
      <c r="DF46" s="805">
        <f t="shared" si="65"/>
        <v>0</v>
      </c>
      <c r="DG46" s="757">
        <f t="shared" si="66"/>
        <v>0</v>
      </c>
      <c r="DH46" s="744"/>
      <c r="DI46" s="805"/>
      <c r="DJ46" s="757"/>
      <c r="DK46" s="744"/>
      <c r="DL46" s="805"/>
      <c r="DM46" s="757"/>
      <c r="DN46" s="744">
        <f t="shared" si="67"/>
        <v>0</v>
      </c>
      <c r="DO46" s="805">
        <f t="shared" si="68"/>
        <v>175221.85499999998</v>
      </c>
      <c r="DP46" s="757">
        <f t="shared" si="69"/>
        <v>175221.895</v>
      </c>
      <c r="DQ46" s="823">
        <f t="shared" si="70"/>
        <v>100.00002282820257</v>
      </c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  <c r="GH46" s="154"/>
      <c r="GI46" s="154"/>
      <c r="GJ46" s="154"/>
      <c r="GK46" s="154"/>
      <c r="GL46" s="154"/>
      <c r="GM46" s="154"/>
      <c r="GN46" s="154"/>
      <c r="GO46" s="154"/>
      <c r="GP46" s="154"/>
      <c r="GQ46" s="154"/>
      <c r="GR46" s="154"/>
      <c r="GS46" s="154"/>
      <c r="GT46" s="154"/>
      <c r="GU46" s="154"/>
      <c r="GV46" s="154"/>
      <c r="GW46" s="154"/>
      <c r="GX46" s="154"/>
      <c r="GY46" s="154"/>
      <c r="GZ46" s="154"/>
      <c r="HA46" s="154"/>
      <c r="HB46" s="154"/>
      <c r="HC46" s="154"/>
      <c r="HD46" s="154"/>
      <c r="HE46" s="154"/>
      <c r="HF46" s="154"/>
      <c r="HG46" s="154"/>
      <c r="HH46" s="154"/>
      <c r="HI46" s="154"/>
      <c r="HJ46" s="154"/>
    </row>
    <row r="47" spans="1:218" ht="12.75" customHeight="1">
      <c r="A47" s="1473"/>
      <c r="B47" s="772" t="s">
        <v>246</v>
      </c>
      <c r="C47" s="1970">
        <v>944120</v>
      </c>
      <c r="D47" s="741"/>
      <c r="E47" s="805"/>
      <c r="F47" s="757"/>
      <c r="G47" s="741"/>
      <c r="H47" s="805"/>
      <c r="I47" s="757"/>
      <c r="J47" s="741"/>
      <c r="K47" s="805"/>
      <c r="L47" s="757"/>
      <c r="M47" s="741"/>
      <c r="N47" s="805"/>
      <c r="O47" s="757"/>
      <c r="P47" s="741"/>
      <c r="Q47" s="805"/>
      <c r="R47" s="757"/>
      <c r="S47" s="741"/>
      <c r="T47" s="805"/>
      <c r="U47" s="757"/>
      <c r="V47" s="741"/>
      <c r="W47" s="805"/>
      <c r="X47" s="757"/>
      <c r="Y47" s="741"/>
      <c r="Z47" s="805"/>
      <c r="AA47" s="757"/>
      <c r="AB47" s="741"/>
      <c r="AC47" s="805"/>
      <c r="AD47" s="757"/>
      <c r="AE47" s="741"/>
      <c r="AF47" s="805"/>
      <c r="AG47" s="757"/>
      <c r="AH47" s="741"/>
      <c r="AI47" s="805"/>
      <c r="AJ47" s="757"/>
      <c r="AK47" s="741"/>
      <c r="AL47" s="805"/>
      <c r="AM47" s="757"/>
      <c r="AN47" s="741"/>
      <c r="AO47" s="805"/>
      <c r="AP47" s="757"/>
      <c r="AQ47" s="741"/>
      <c r="AR47" s="805"/>
      <c r="AS47" s="757"/>
      <c r="AT47" s="741"/>
      <c r="AU47" s="805"/>
      <c r="AV47" s="757"/>
      <c r="AW47" s="741"/>
      <c r="AX47" s="805"/>
      <c r="AY47" s="757"/>
      <c r="AZ47" s="741"/>
      <c r="BA47" s="805"/>
      <c r="BB47" s="757"/>
      <c r="BC47" s="741"/>
      <c r="BD47" s="805">
        <v>65651.535</v>
      </c>
      <c r="BE47" s="757">
        <v>65651.535</v>
      </c>
      <c r="BF47" s="741"/>
      <c r="BG47" s="805"/>
      <c r="BH47" s="757"/>
      <c r="BI47" s="741">
        <f t="shared" si="55"/>
        <v>0</v>
      </c>
      <c r="BJ47" s="805">
        <f t="shared" si="56"/>
        <v>65651.535</v>
      </c>
      <c r="BK47" s="757">
        <f t="shared" si="57"/>
        <v>65651.535</v>
      </c>
      <c r="BL47" s="744"/>
      <c r="BM47" s="805"/>
      <c r="BN47" s="757"/>
      <c r="BO47" s="744"/>
      <c r="BP47" s="805"/>
      <c r="BQ47" s="757"/>
      <c r="BR47" s="744"/>
      <c r="BS47" s="805"/>
      <c r="BT47" s="757"/>
      <c r="BU47" s="744"/>
      <c r="BV47" s="805"/>
      <c r="BW47" s="757"/>
      <c r="BX47" s="744"/>
      <c r="BY47" s="805"/>
      <c r="BZ47" s="757"/>
      <c r="CA47" s="744"/>
      <c r="CB47" s="805"/>
      <c r="CC47" s="757"/>
      <c r="CD47" s="744"/>
      <c r="CE47" s="805"/>
      <c r="CF47" s="757"/>
      <c r="CG47" s="744"/>
      <c r="CH47" s="805"/>
      <c r="CI47" s="757"/>
      <c r="CJ47" s="744"/>
      <c r="CK47" s="805"/>
      <c r="CL47" s="757"/>
      <c r="CM47" s="744">
        <f t="shared" si="58"/>
        <v>0</v>
      </c>
      <c r="CN47" s="805">
        <f t="shared" si="59"/>
        <v>0</v>
      </c>
      <c r="CO47" s="757">
        <f t="shared" si="60"/>
        <v>0</v>
      </c>
      <c r="CP47" s="744">
        <f t="shared" si="61"/>
        <v>0</v>
      </c>
      <c r="CQ47" s="805">
        <f t="shared" si="62"/>
        <v>65651.535</v>
      </c>
      <c r="CR47" s="757">
        <f t="shared" si="63"/>
        <v>65651.535</v>
      </c>
      <c r="CS47" s="744"/>
      <c r="CT47" s="805"/>
      <c r="CU47" s="757"/>
      <c r="CV47" s="744"/>
      <c r="CW47" s="805"/>
      <c r="CX47" s="757"/>
      <c r="CY47" s="744"/>
      <c r="CZ47" s="805"/>
      <c r="DA47" s="757"/>
      <c r="DB47" s="744"/>
      <c r="DC47" s="805"/>
      <c r="DD47" s="757"/>
      <c r="DE47" s="744">
        <f t="shared" si="64"/>
        <v>0</v>
      </c>
      <c r="DF47" s="805">
        <f t="shared" si="65"/>
        <v>0</v>
      </c>
      <c r="DG47" s="757">
        <f t="shared" si="66"/>
        <v>0</v>
      </c>
      <c r="DH47" s="744"/>
      <c r="DI47" s="805"/>
      <c r="DJ47" s="757"/>
      <c r="DK47" s="744"/>
      <c r="DL47" s="805"/>
      <c r="DM47" s="757"/>
      <c r="DN47" s="744">
        <f t="shared" si="67"/>
        <v>0</v>
      </c>
      <c r="DO47" s="805">
        <f t="shared" si="68"/>
        <v>65651.535</v>
      </c>
      <c r="DP47" s="757">
        <f t="shared" si="69"/>
        <v>65651.535</v>
      </c>
      <c r="DQ47" s="823">
        <f t="shared" si="70"/>
        <v>100</v>
      </c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4"/>
      <c r="GK47" s="154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  <c r="HJ47" s="154"/>
    </row>
    <row r="48" spans="1:218" ht="12.75" customHeight="1">
      <c r="A48" s="1473" t="s">
        <v>911</v>
      </c>
      <c r="B48" s="773" t="s">
        <v>491</v>
      </c>
      <c r="C48" s="1969"/>
      <c r="D48" s="740"/>
      <c r="E48" s="804"/>
      <c r="F48" s="756"/>
      <c r="G48" s="740"/>
      <c r="H48" s="804"/>
      <c r="I48" s="756"/>
      <c r="J48" s="740"/>
      <c r="K48" s="804"/>
      <c r="L48" s="756"/>
      <c r="M48" s="740"/>
      <c r="N48" s="804"/>
      <c r="O48" s="756"/>
      <c r="P48" s="740"/>
      <c r="Q48" s="804"/>
      <c r="R48" s="756"/>
      <c r="S48" s="740"/>
      <c r="T48" s="804"/>
      <c r="U48" s="756"/>
      <c r="V48" s="740"/>
      <c r="W48" s="804"/>
      <c r="X48" s="756"/>
      <c r="Y48" s="740"/>
      <c r="Z48" s="804"/>
      <c r="AA48" s="756"/>
      <c r="AB48" s="740"/>
      <c r="AC48" s="804"/>
      <c r="AD48" s="756"/>
      <c r="AE48" s="740"/>
      <c r="AF48" s="804"/>
      <c r="AG48" s="756"/>
      <c r="AH48" s="740"/>
      <c r="AI48" s="804"/>
      <c r="AJ48" s="756"/>
      <c r="AK48" s="740"/>
      <c r="AL48" s="804"/>
      <c r="AM48" s="756"/>
      <c r="AN48" s="740"/>
      <c r="AO48" s="804"/>
      <c r="AP48" s="756"/>
      <c r="AQ48" s="740"/>
      <c r="AR48" s="804"/>
      <c r="AS48" s="756"/>
      <c r="AT48" s="740"/>
      <c r="AU48" s="804"/>
      <c r="AV48" s="756"/>
      <c r="AW48" s="740"/>
      <c r="AX48" s="804"/>
      <c r="AY48" s="756"/>
      <c r="AZ48" s="740"/>
      <c r="BA48" s="804"/>
      <c r="BB48" s="756"/>
      <c r="BC48" s="740"/>
      <c r="BD48" s="804"/>
      <c r="BE48" s="756"/>
      <c r="BF48" s="740"/>
      <c r="BG48" s="804"/>
      <c r="BH48" s="756"/>
      <c r="BI48" s="740">
        <f t="shared" si="55"/>
        <v>0</v>
      </c>
      <c r="BJ48" s="804">
        <f t="shared" si="56"/>
        <v>0</v>
      </c>
      <c r="BK48" s="756">
        <f t="shared" si="57"/>
        <v>0</v>
      </c>
      <c r="BL48" s="743"/>
      <c r="BM48" s="804"/>
      <c r="BN48" s="756"/>
      <c r="BO48" s="743"/>
      <c r="BP48" s="804"/>
      <c r="BQ48" s="756"/>
      <c r="BR48" s="743"/>
      <c r="BS48" s="804"/>
      <c r="BT48" s="756"/>
      <c r="BU48" s="743"/>
      <c r="BV48" s="804"/>
      <c r="BW48" s="756"/>
      <c r="BX48" s="743"/>
      <c r="BY48" s="804"/>
      <c r="BZ48" s="756"/>
      <c r="CA48" s="743"/>
      <c r="CB48" s="804"/>
      <c r="CC48" s="756"/>
      <c r="CD48" s="743"/>
      <c r="CE48" s="804"/>
      <c r="CF48" s="756"/>
      <c r="CG48" s="743"/>
      <c r="CH48" s="804"/>
      <c r="CI48" s="756"/>
      <c r="CJ48" s="743"/>
      <c r="CK48" s="804"/>
      <c r="CL48" s="756"/>
      <c r="CM48" s="743">
        <f t="shared" si="58"/>
        <v>0</v>
      </c>
      <c r="CN48" s="804">
        <f t="shared" si="59"/>
        <v>0</v>
      </c>
      <c r="CO48" s="756">
        <f t="shared" si="60"/>
        <v>0</v>
      </c>
      <c r="CP48" s="743">
        <f t="shared" si="61"/>
        <v>0</v>
      </c>
      <c r="CQ48" s="804">
        <f t="shared" si="62"/>
        <v>0</v>
      </c>
      <c r="CR48" s="756">
        <f t="shared" si="63"/>
        <v>0</v>
      </c>
      <c r="CS48" s="743"/>
      <c r="CT48" s="804"/>
      <c r="CU48" s="756"/>
      <c r="CV48" s="743"/>
      <c r="CW48" s="804"/>
      <c r="CX48" s="756"/>
      <c r="CY48" s="743"/>
      <c r="CZ48" s="804"/>
      <c r="DA48" s="756"/>
      <c r="DB48" s="743"/>
      <c r="DC48" s="804"/>
      <c r="DD48" s="756"/>
      <c r="DE48" s="743">
        <f t="shared" si="64"/>
        <v>0</v>
      </c>
      <c r="DF48" s="804">
        <f t="shared" si="65"/>
        <v>0</v>
      </c>
      <c r="DG48" s="756">
        <f t="shared" si="66"/>
        <v>0</v>
      </c>
      <c r="DH48" s="743"/>
      <c r="DI48" s="804"/>
      <c r="DJ48" s="756"/>
      <c r="DK48" s="743"/>
      <c r="DL48" s="804"/>
      <c r="DM48" s="756"/>
      <c r="DN48" s="743">
        <f t="shared" si="67"/>
        <v>0</v>
      </c>
      <c r="DO48" s="804">
        <f t="shared" si="68"/>
        <v>0</v>
      </c>
      <c r="DP48" s="756">
        <f t="shared" si="69"/>
        <v>0</v>
      </c>
      <c r="DQ48" s="823">
        <v>0</v>
      </c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</row>
    <row r="49" spans="1:218" ht="12.75" customHeight="1">
      <c r="A49" s="1473" t="s">
        <v>912</v>
      </c>
      <c r="B49" s="773" t="s">
        <v>1178</v>
      </c>
      <c r="C49" s="1969">
        <v>943</v>
      </c>
      <c r="D49" s="743"/>
      <c r="E49" s="804"/>
      <c r="F49" s="756"/>
      <c r="G49" s="743"/>
      <c r="H49" s="804"/>
      <c r="I49" s="756"/>
      <c r="J49" s="743"/>
      <c r="K49" s="804"/>
      <c r="L49" s="756"/>
      <c r="M49" s="743"/>
      <c r="N49" s="804"/>
      <c r="O49" s="756"/>
      <c r="P49" s="743"/>
      <c r="Q49" s="804">
        <v>844</v>
      </c>
      <c r="R49" s="756">
        <f>975-131</f>
        <v>844</v>
      </c>
      <c r="S49" s="743">
        <v>50000</v>
      </c>
      <c r="T49" s="804">
        <v>52464.1</v>
      </c>
      <c r="U49" s="756">
        <v>52464</v>
      </c>
      <c r="V49" s="743"/>
      <c r="W49" s="804"/>
      <c r="X49" s="756"/>
      <c r="Y49" s="743">
        <v>5228</v>
      </c>
      <c r="Z49" s="804">
        <v>603.8</v>
      </c>
      <c r="AA49" s="756">
        <v>804.6</v>
      </c>
      <c r="AB49" s="743"/>
      <c r="AC49" s="804"/>
      <c r="AD49" s="756"/>
      <c r="AE49" s="743"/>
      <c r="AF49" s="804"/>
      <c r="AG49" s="756"/>
      <c r="AH49" s="743"/>
      <c r="AI49" s="804"/>
      <c r="AJ49" s="756"/>
      <c r="AK49" s="743"/>
      <c r="AL49" s="804"/>
      <c r="AM49" s="756"/>
      <c r="AN49" s="743"/>
      <c r="AO49" s="804"/>
      <c r="AP49" s="756"/>
      <c r="AQ49" s="743"/>
      <c r="AR49" s="804"/>
      <c r="AS49" s="756"/>
      <c r="AT49" s="743"/>
      <c r="AU49" s="804"/>
      <c r="AV49" s="756"/>
      <c r="AW49" s="743"/>
      <c r="AX49" s="804">
        <v>5646.967</v>
      </c>
      <c r="AY49" s="756">
        <v>7370.584</v>
      </c>
      <c r="AZ49" s="743"/>
      <c r="BA49" s="804"/>
      <c r="BB49" s="756"/>
      <c r="BC49" s="743"/>
      <c r="BD49" s="804">
        <v>104.42</v>
      </c>
      <c r="BE49" s="756">
        <f>15727.939+0.4</f>
        <v>15728.339</v>
      </c>
      <c r="BF49" s="743"/>
      <c r="BG49" s="804"/>
      <c r="BH49" s="756"/>
      <c r="BI49" s="743">
        <f t="shared" si="55"/>
        <v>55228</v>
      </c>
      <c r="BJ49" s="804">
        <f t="shared" si="56"/>
        <v>59663.287</v>
      </c>
      <c r="BK49" s="756">
        <f t="shared" si="57"/>
        <v>77211.523</v>
      </c>
      <c r="BL49" s="743"/>
      <c r="BM49" s="804"/>
      <c r="BN49" s="756"/>
      <c r="BO49" s="743"/>
      <c r="BP49" s="804"/>
      <c r="BQ49" s="756"/>
      <c r="BR49" s="743"/>
      <c r="BS49" s="804"/>
      <c r="BT49" s="756"/>
      <c r="BU49" s="743"/>
      <c r="BV49" s="804"/>
      <c r="BW49" s="756"/>
      <c r="BX49" s="743"/>
      <c r="BY49" s="804"/>
      <c r="BZ49" s="756"/>
      <c r="CA49" s="743"/>
      <c r="CB49" s="804"/>
      <c r="CC49" s="756"/>
      <c r="CD49" s="743"/>
      <c r="CE49" s="804">
        <v>1500</v>
      </c>
      <c r="CF49" s="756">
        <v>1500</v>
      </c>
      <c r="CG49" s="743"/>
      <c r="CH49" s="804"/>
      <c r="CI49" s="756"/>
      <c r="CJ49" s="743"/>
      <c r="CK49" s="804">
        <v>27</v>
      </c>
      <c r="CL49" s="756">
        <v>174698</v>
      </c>
      <c r="CM49" s="743">
        <f t="shared" si="58"/>
        <v>0</v>
      </c>
      <c r="CN49" s="804">
        <f t="shared" si="59"/>
        <v>1527</v>
      </c>
      <c r="CO49" s="756">
        <f t="shared" si="60"/>
        <v>176198</v>
      </c>
      <c r="CP49" s="743">
        <f t="shared" si="61"/>
        <v>55228</v>
      </c>
      <c r="CQ49" s="804">
        <f t="shared" si="62"/>
        <v>61190.287</v>
      </c>
      <c r="CR49" s="756">
        <f>BK49+CO49</f>
        <v>253409.523</v>
      </c>
      <c r="CS49" s="743"/>
      <c r="CT49" s="804"/>
      <c r="CU49" s="756"/>
      <c r="CV49" s="743"/>
      <c r="CW49" s="804"/>
      <c r="CX49" s="756"/>
      <c r="CY49" s="743"/>
      <c r="CZ49" s="804"/>
      <c r="DA49" s="756"/>
      <c r="DB49" s="743"/>
      <c r="DC49" s="804">
        <f>315730-296331</f>
        <v>19399</v>
      </c>
      <c r="DD49" s="756">
        <f>315728.828-296331</f>
        <v>19397.82799999998</v>
      </c>
      <c r="DE49" s="743">
        <f t="shared" si="64"/>
        <v>0</v>
      </c>
      <c r="DF49" s="804">
        <f t="shared" si="65"/>
        <v>19399</v>
      </c>
      <c r="DG49" s="756">
        <f t="shared" si="66"/>
        <v>19397.82799999998</v>
      </c>
      <c r="DH49" s="743"/>
      <c r="DI49" s="804">
        <f>43760.083-30913</f>
        <v>12847.082999999999</v>
      </c>
      <c r="DJ49" s="756">
        <f>'6_sz_tábla B.'!J50</f>
        <v>11131</v>
      </c>
      <c r="DK49" s="743">
        <v>968206</v>
      </c>
      <c r="DL49" s="804">
        <v>1059117</v>
      </c>
      <c r="DM49" s="756">
        <v>1059117</v>
      </c>
      <c r="DN49" s="743">
        <f>CP49+DE49+DH49+DK49</f>
        <v>1023434</v>
      </c>
      <c r="DO49" s="804">
        <f t="shared" si="68"/>
        <v>1152553.37</v>
      </c>
      <c r="DP49" s="756">
        <f t="shared" si="69"/>
        <v>1343055.351</v>
      </c>
      <c r="DQ49" s="823">
        <f t="shared" si="70"/>
        <v>116.52869064102427</v>
      </c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4"/>
      <c r="FG49" s="154"/>
      <c r="FH49" s="154"/>
      <c r="FI49" s="154"/>
      <c r="FJ49" s="154"/>
      <c r="FK49" s="154"/>
      <c r="FL49" s="154"/>
      <c r="FM49" s="154"/>
      <c r="FN49" s="154"/>
      <c r="FO49" s="154"/>
      <c r="FP49" s="154"/>
      <c r="FQ49" s="154"/>
      <c r="FR49" s="154"/>
      <c r="FS49" s="154"/>
      <c r="FT49" s="154"/>
      <c r="FU49" s="154"/>
      <c r="FV49" s="154"/>
      <c r="FW49" s="154"/>
      <c r="FX49" s="154"/>
      <c r="FY49" s="154"/>
      <c r="FZ49" s="154"/>
      <c r="GA49" s="154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4"/>
      <c r="GO49" s="154"/>
      <c r="GP49" s="154"/>
      <c r="GQ49" s="154"/>
      <c r="GR49" s="154"/>
      <c r="GS49" s="154"/>
      <c r="GT49" s="154"/>
      <c r="GU49" s="154"/>
      <c r="GV49" s="154"/>
      <c r="GW49" s="154"/>
      <c r="GX49" s="154"/>
      <c r="GY49" s="154"/>
      <c r="GZ49" s="154"/>
      <c r="HA49" s="154"/>
      <c r="HB49" s="154"/>
      <c r="HC49" s="154"/>
      <c r="HD49" s="154"/>
      <c r="HE49" s="154"/>
      <c r="HF49" s="154"/>
      <c r="HG49" s="154"/>
      <c r="HH49" s="154"/>
      <c r="HI49" s="154"/>
      <c r="HJ49" s="154"/>
    </row>
    <row r="50" spans="1:218" ht="12.75" customHeight="1">
      <c r="A50" s="1473"/>
      <c r="B50" s="772" t="s">
        <v>248</v>
      </c>
      <c r="C50" s="1969"/>
      <c r="D50" s="743"/>
      <c r="E50" s="804"/>
      <c r="F50" s="756"/>
      <c r="G50" s="743"/>
      <c r="H50" s="804"/>
      <c r="I50" s="756"/>
      <c r="J50" s="743"/>
      <c r="K50" s="804"/>
      <c r="L50" s="756"/>
      <c r="M50" s="743"/>
      <c r="N50" s="804"/>
      <c r="O50" s="756"/>
      <c r="P50" s="743"/>
      <c r="Q50" s="804"/>
      <c r="R50" s="756"/>
      <c r="S50" s="743">
        <v>50000</v>
      </c>
      <c r="T50" s="804">
        <v>52464.1</v>
      </c>
      <c r="U50" s="756">
        <v>52464</v>
      </c>
      <c r="V50" s="743"/>
      <c r="W50" s="804"/>
      <c r="X50" s="756"/>
      <c r="Y50" s="743"/>
      <c r="Z50" s="804"/>
      <c r="AA50" s="756"/>
      <c r="AB50" s="743"/>
      <c r="AC50" s="804"/>
      <c r="AD50" s="756"/>
      <c r="AE50" s="743"/>
      <c r="AF50" s="804"/>
      <c r="AG50" s="756"/>
      <c r="AH50" s="743"/>
      <c r="AI50" s="804"/>
      <c r="AJ50" s="756"/>
      <c r="AK50" s="743"/>
      <c r="AL50" s="804"/>
      <c r="AM50" s="756"/>
      <c r="AN50" s="743"/>
      <c r="AO50" s="804"/>
      <c r="AP50" s="756"/>
      <c r="AQ50" s="743"/>
      <c r="AR50" s="804"/>
      <c r="AS50" s="756"/>
      <c r="AT50" s="743"/>
      <c r="AU50" s="804"/>
      <c r="AV50" s="756"/>
      <c r="AW50" s="743"/>
      <c r="AX50" s="804"/>
      <c r="AY50" s="756"/>
      <c r="AZ50" s="743"/>
      <c r="BA50" s="804"/>
      <c r="BB50" s="756"/>
      <c r="BC50" s="743"/>
      <c r="BD50" s="804"/>
      <c r="BE50" s="756"/>
      <c r="BF50" s="743"/>
      <c r="BG50" s="804"/>
      <c r="BH50" s="756"/>
      <c r="BI50" s="743">
        <f t="shared" si="55"/>
        <v>50000</v>
      </c>
      <c r="BJ50" s="804">
        <f t="shared" si="56"/>
        <v>52464.1</v>
      </c>
      <c r="BK50" s="756">
        <f t="shared" si="57"/>
        <v>52464</v>
      </c>
      <c r="BL50" s="743"/>
      <c r="BM50" s="804"/>
      <c r="BN50" s="756"/>
      <c r="BO50" s="743"/>
      <c r="BP50" s="804"/>
      <c r="BQ50" s="756"/>
      <c r="BR50" s="743"/>
      <c r="BS50" s="804"/>
      <c r="BT50" s="756"/>
      <c r="BU50" s="743"/>
      <c r="BV50" s="804"/>
      <c r="BW50" s="756"/>
      <c r="BX50" s="743"/>
      <c r="BY50" s="804"/>
      <c r="BZ50" s="756"/>
      <c r="CA50" s="743"/>
      <c r="CB50" s="804"/>
      <c r="CC50" s="756"/>
      <c r="CD50" s="743"/>
      <c r="CE50" s="804"/>
      <c r="CF50" s="756"/>
      <c r="CG50" s="743"/>
      <c r="CH50" s="804"/>
      <c r="CI50" s="756"/>
      <c r="CJ50" s="743"/>
      <c r="CK50" s="804"/>
      <c r="CL50" s="756"/>
      <c r="CM50" s="743">
        <f t="shared" si="58"/>
        <v>0</v>
      </c>
      <c r="CN50" s="804">
        <f t="shared" si="59"/>
        <v>0</v>
      </c>
      <c r="CO50" s="756">
        <f t="shared" si="60"/>
        <v>0</v>
      </c>
      <c r="CP50" s="743">
        <f t="shared" si="61"/>
        <v>50000</v>
      </c>
      <c r="CQ50" s="804">
        <f t="shared" si="62"/>
        <v>52464.1</v>
      </c>
      <c r="CR50" s="756">
        <f t="shared" si="63"/>
        <v>52464</v>
      </c>
      <c r="CS50" s="743"/>
      <c r="CT50" s="804"/>
      <c r="CU50" s="756"/>
      <c r="CV50" s="743"/>
      <c r="CW50" s="804"/>
      <c r="CX50" s="756"/>
      <c r="CY50" s="743"/>
      <c r="CZ50" s="804"/>
      <c r="DA50" s="756"/>
      <c r="DB50" s="743"/>
      <c r="DC50" s="804"/>
      <c r="DD50" s="756"/>
      <c r="DE50" s="743">
        <f t="shared" si="64"/>
        <v>0</v>
      </c>
      <c r="DF50" s="804">
        <f t="shared" si="65"/>
        <v>0</v>
      </c>
      <c r="DG50" s="756">
        <f t="shared" si="66"/>
        <v>0</v>
      </c>
      <c r="DH50" s="743"/>
      <c r="DI50" s="804"/>
      <c r="DJ50" s="756"/>
      <c r="DK50" s="743">
        <v>968206</v>
      </c>
      <c r="DL50" s="804">
        <v>1059117</v>
      </c>
      <c r="DM50" s="756">
        <v>1059117</v>
      </c>
      <c r="DN50" s="743">
        <f>CP50+DE50+DH50+DK50</f>
        <v>1018206</v>
      </c>
      <c r="DO50" s="804">
        <f t="shared" si="68"/>
        <v>1111581.1</v>
      </c>
      <c r="DP50" s="756">
        <f t="shared" si="69"/>
        <v>1111581</v>
      </c>
      <c r="DQ50" s="825">
        <f t="shared" si="70"/>
        <v>99.99999100380529</v>
      </c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154"/>
      <c r="GW50" s="154"/>
      <c r="GX50" s="154"/>
      <c r="GY50" s="154"/>
      <c r="GZ50" s="154"/>
      <c r="HA50" s="154"/>
      <c r="HB50" s="154"/>
      <c r="HC50" s="154"/>
      <c r="HD50" s="154"/>
      <c r="HE50" s="154"/>
      <c r="HF50" s="154"/>
      <c r="HG50" s="154"/>
      <c r="HH50" s="154"/>
      <c r="HI50" s="154"/>
      <c r="HJ50" s="154"/>
    </row>
    <row r="51" spans="1:218" ht="12.75" customHeight="1">
      <c r="A51" s="1473" t="s">
        <v>51</v>
      </c>
      <c r="B51" s="773" t="s">
        <v>249</v>
      </c>
      <c r="C51" s="1969"/>
      <c r="D51" s="743"/>
      <c r="E51" s="804"/>
      <c r="F51" s="756"/>
      <c r="G51" s="743"/>
      <c r="H51" s="804"/>
      <c r="I51" s="756"/>
      <c r="J51" s="743"/>
      <c r="K51" s="804"/>
      <c r="L51" s="756"/>
      <c r="M51" s="743"/>
      <c r="N51" s="804"/>
      <c r="O51" s="756"/>
      <c r="P51" s="743"/>
      <c r="Q51" s="804"/>
      <c r="R51" s="756"/>
      <c r="S51" s="743"/>
      <c r="T51" s="804"/>
      <c r="U51" s="756"/>
      <c r="V51" s="743">
        <v>161500</v>
      </c>
      <c r="W51" s="804"/>
      <c r="X51" s="756"/>
      <c r="Y51" s="743">
        <v>89068</v>
      </c>
      <c r="Z51" s="804">
        <v>6488</v>
      </c>
      <c r="AA51" s="756">
        <v>6488.168</v>
      </c>
      <c r="AB51" s="743"/>
      <c r="AC51" s="804"/>
      <c r="AD51" s="756"/>
      <c r="AE51" s="743"/>
      <c r="AF51" s="804"/>
      <c r="AG51" s="756"/>
      <c r="AH51" s="743"/>
      <c r="AI51" s="804"/>
      <c r="AJ51" s="756"/>
      <c r="AK51" s="743"/>
      <c r="AL51" s="804"/>
      <c r="AM51" s="756"/>
      <c r="AN51" s="743"/>
      <c r="AO51" s="804"/>
      <c r="AP51" s="756"/>
      <c r="AQ51" s="743"/>
      <c r="AR51" s="804"/>
      <c r="AS51" s="756"/>
      <c r="AT51" s="743"/>
      <c r="AU51" s="804"/>
      <c r="AV51" s="756"/>
      <c r="AW51" s="743"/>
      <c r="AX51" s="804"/>
      <c r="AY51" s="756"/>
      <c r="AZ51" s="743"/>
      <c r="BA51" s="804"/>
      <c r="BB51" s="756"/>
      <c r="BC51" s="743"/>
      <c r="BD51" s="804"/>
      <c r="BE51" s="756"/>
      <c r="BF51" s="743"/>
      <c r="BG51" s="804"/>
      <c r="BH51" s="756"/>
      <c r="BI51" s="743">
        <f t="shared" si="55"/>
        <v>250568</v>
      </c>
      <c r="BJ51" s="804">
        <f t="shared" si="56"/>
        <v>6488</v>
      </c>
      <c r="BK51" s="756">
        <f t="shared" si="57"/>
        <v>6488.168</v>
      </c>
      <c r="BL51" s="743"/>
      <c r="BM51" s="804"/>
      <c r="BN51" s="756"/>
      <c r="BO51" s="743"/>
      <c r="BP51" s="804"/>
      <c r="BQ51" s="756"/>
      <c r="BR51" s="743"/>
      <c r="BS51" s="804"/>
      <c r="BT51" s="756"/>
      <c r="BU51" s="743"/>
      <c r="BV51" s="804"/>
      <c r="BW51" s="756"/>
      <c r="BX51" s="743"/>
      <c r="BY51" s="804"/>
      <c r="BZ51" s="756"/>
      <c r="CA51" s="743"/>
      <c r="CB51" s="804"/>
      <c r="CC51" s="756"/>
      <c r="CD51" s="743"/>
      <c r="CE51" s="804"/>
      <c r="CF51" s="756"/>
      <c r="CG51" s="743"/>
      <c r="CH51" s="804"/>
      <c r="CI51" s="756"/>
      <c r="CJ51" s="743"/>
      <c r="CK51" s="804">
        <v>15334.842</v>
      </c>
      <c r="CL51" s="756">
        <v>15335</v>
      </c>
      <c r="CM51" s="743">
        <f t="shared" si="58"/>
        <v>0</v>
      </c>
      <c r="CN51" s="804">
        <f t="shared" si="59"/>
        <v>15334.842</v>
      </c>
      <c r="CO51" s="756">
        <f t="shared" si="60"/>
        <v>15335</v>
      </c>
      <c r="CP51" s="743">
        <f t="shared" si="61"/>
        <v>250568</v>
      </c>
      <c r="CQ51" s="804">
        <f t="shared" si="62"/>
        <v>21822.842</v>
      </c>
      <c r="CR51" s="756">
        <f t="shared" si="63"/>
        <v>21823.167999999998</v>
      </c>
      <c r="CS51" s="743"/>
      <c r="CT51" s="804"/>
      <c r="CU51" s="756"/>
      <c r="CV51" s="743"/>
      <c r="CW51" s="804"/>
      <c r="CX51" s="756"/>
      <c r="CY51" s="743"/>
      <c r="CZ51" s="804"/>
      <c r="DA51" s="756"/>
      <c r="DB51" s="743"/>
      <c r="DC51" s="804">
        <f>32005-32005</f>
        <v>0</v>
      </c>
      <c r="DD51" s="804">
        <f>32005-32005</f>
        <v>0</v>
      </c>
      <c r="DE51" s="743">
        <f t="shared" si="64"/>
        <v>0</v>
      </c>
      <c r="DF51" s="804">
        <f t="shared" si="65"/>
        <v>0</v>
      </c>
      <c r="DG51" s="756">
        <f t="shared" si="66"/>
        <v>0</v>
      </c>
      <c r="DH51" s="743"/>
      <c r="DI51" s="804">
        <f>26674-26674</f>
        <v>0</v>
      </c>
      <c r="DJ51" s="756"/>
      <c r="DK51" s="743"/>
      <c r="DL51" s="804"/>
      <c r="DM51" s="756"/>
      <c r="DN51" s="743">
        <f>CP51+DE51+DH51+DK51</f>
        <v>250568</v>
      </c>
      <c r="DO51" s="804">
        <f>CQ51+DF51+DI51+DL51</f>
        <v>21822.842</v>
      </c>
      <c r="DP51" s="756">
        <f>CR51+DG51+DJ51+DM51</f>
        <v>21823.167999999998</v>
      </c>
      <c r="DQ51" s="823">
        <f t="shared" si="70"/>
        <v>100.00149384759325</v>
      </c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  <c r="GC51" s="154"/>
      <c r="GD51" s="154"/>
      <c r="GE51" s="154"/>
      <c r="GF51" s="154"/>
      <c r="GG51" s="154"/>
      <c r="GH51" s="154"/>
      <c r="GI51" s="154"/>
      <c r="GJ51" s="154"/>
      <c r="GK51" s="154"/>
      <c r="GL51" s="154"/>
      <c r="GM51" s="154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4"/>
      <c r="HE51" s="154"/>
      <c r="HF51" s="154"/>
      <c r="HG51" s="154"/>
      <c r="HH51" s="154"/>
      <c r="HI51" s="154"/>
      <c r="HJ51" s="154"/>
    </row>
    <row r="52" spans="1:218" ht="12.75" customHeight="1">
      <c r="A52" s="1473"/>
      <c r="B52" s="1477" t="s">
        <v>248</v>
      </c>
      <c r="C52" s="1971"/>
      <c r="D52" s="1982"/>
      <c r="E52" s="804"/>
      <c r="F52" s="756"/>
      <c r="G52" s="1982"/>
      <c r="H52" s="804"/>
      <c r="I52" s="756"/>
      <c r="J52" s="1982"/>
      <c r="K52" s="804"/>
      <c r="L52" s="756"/>
      <c r="M52" s="1982"/>
      <c r="N52" s="804"/>
      <c r="O52" s="756"/>
      <c r="P52" s="1982"/>
      <c r="Q52" s="804"/>
      <c r="R52" s="756"/>
      <c r="S52" s="1982"/>
      <c r="T52" s="804"/>
      <c r="U52" s="756"/>
      <c r="V52" s="1982"/>
      <c r="W52" s="804"/>
      <c r="X52" s="756"/>
      <c r="Y52" s="1982"/>
      <c r="Z52" s="804"/>
      <c r="AA52" s="756"/>
      <c r="AB52" s="1982"/>
      <c r="AC52" s="804"/>
      <c r="AD52" s="756"/>
      <c r="AE52" s="1982"/>
      <c r="AF52" s="804"/>
      <c r="AG52" s="756"/>
      <c r="AH52" s="1982"/>
      <c r="AI52" s="804"/>
      <c r="AJ52" s="756"/>
      <c r="AK52" s="1982"/>
      <c r="AL52" s="804"/>
      <c r="AM52" s="756"/>
      <c r="AN52" s="1982"/>
      <c r="AO52" s="804"/>
      <c r="AP52" s="756"/>
      <c r="AQ52" s="1982"/>
      <c r="AR52" s="804"/>
      <c r="AS52" s="756"/>
      <c r="AT52" s="1982"/>
      <c r="AU52" s="804"/>
      <c r="AV52" s="756"/>
      <c r="AW52" s="1982"/>
      <c r="AX52" s="804"/>
      <c r="AY52" s="756"/>
      <c r="AZ52" s="1982"/>
      <c r="BA52" s="804"/>
      <c r="BB52" s="756"/>
      <c r="BC52" s="1982"/>
      <c r="BD52" s="804"/>
      <c r="BE52" s="756"/>
      <c r="BF52" s="1982"/>
      <c r="BG52" s="804"/>
      <c r="BH52" s="756"/>
      <c r="BI52" s="1982">
        <f t="shared" si="55"/>
        <v>0</v>
      </c>
      <c r="BJ52" s="804">
        <f t="shared" si="56"/>
        <v>0</v>
      </c>
      <c r="BK52" s="756">
        <f t="shared" si="57"/>
        <v>0</v>
      </c>
      <c r="BL52" s="743"/>
      <c r="BM52" s="804"/>
      <c r="BN52" s="756"/>
      <c r="BO52" s="743"/>
      <c r="BP52" s="804"/>
      <c r="BQ52" s="756"/>
      <c r="BR52" s="743"/>
      <c r="BS52" s="804"/>
      <c r="BT52" s="756"/>
      <c r="BU52" s="743"/>
      <c r="BV52" s="804"/>
      <c r="BW52" s="756"/>
      <c r="BX52" s="743"/>
      <c r="BY52" s="804"/>
      <c r="BZ52" s="756"/>
      <c r="CA52" s="743"/>
      <c r="CB52" s="804"/>
      <c r="CC52" s="756"/>
      <c r="CD52" s="743"/>
      <c r="CE52" s="804"/>
      <c r="CF52" s="756"/>
      <c r="CG52" s="743"/>
      <c r="CH52" s="804"/>
      <c r="CI52" s="756"/>
      <c r="CJ52" s="743"/>
      <c r="CK52" s="804"/>
      <c r="CL52" s="756"/>
      <c r="CM52" s="743">
        <f t="shared" si="58"/>
        <v>0</v>
      </c>
      <c r="CN52" s="804">
        <f t="shared" si="59"/>
        <v>0</v>
      </c>
      <c r="CO52" s="756">
        <f t="shared" si="60"/>
        <v>0</v>
      </c>
      <c r="CP52" s="743">
        <f t="shared" si="61"/>
        <v>0</v>
      </c>
      <c r="CQ52" s="804">
        <f t="shared" si="62"/>
        <v>0</v>
      </c>
      <c r="CR52" s="756">
        <f t="shared" si="63"/>
        <v>0</v>
      </c>
      <c r="CS52" s="743"/>
      <c r="CT52" s="804"/>
      <c r="CU52" s="756"/>
      <c r="CV52" s="743"/>
      <c r="CW52" s="804"/>
      <c r="CX52" s="756"/>
      <c r="CY52" s="743"/>
      <c r="CZ52" s="804"/>
      <c r="DA52" s="756"/>
      <c r="DB52" s="743"/>
      <c r="DC52" s="804"/>
      <c r="DD52" s="756"/>
      <c r="DE52" s="743">
        <f t="shared" si="64"/>
        <v>0</v>
      </c>
      <c r="DF52" s="804">
        <f t="shared" si="65"/>
        <v>0</v>
      </c>
      <c r="DG52" s="756">
        <f t="shared" si="66"/>
        <v>0</v>
      </c>
      <c r="DH52" s="743"/>
      <c r="DI52" s="804"/>
      <c r="DJ52" s="756"/>
      <c r="DK52" s="743"/>
      <c r="DL52" s="804"/>
      <c r="DM52" s="756"/>
      <c r="DN52" s="743">
        <f t="shared" si="67"/>
        <v>0</v>
      </c>
      <c r="DO52" s="804">
        <f t="shared" si="68"/>
        <v>0</v>
      </c>
      <c r="DP52" s="756">
        <f t="shared" si="69"/>
        <v>0</v>
      </c>
      <c r="DQ52" s="823">
        <v>0</v>
      </c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154"/>
      <c r="HJ52" s="154"/>
    </row>
    <row r="53" spans="1:218" ht="12.75" customHeight="1">
      <c r="A53" s="723" t="s">
        <v>5</v>
      </c>
      <c r="B53" s="712" t="s">
        <v>250</v>
      </c>
      <c r="C53" s="1960">
        <v>931.932</v>
      </c>
      <c r="D53" s="739">
        <f aca="true" t="shared" si="71" ref="D53:BE53">D54+D63+D70+D76</f>
        <v>0</v>
      </c>
      <c r="E53" s="800">
        <f t="shared" si="71"/>
        <v>0</v>
      </c>
      <c r="F53" s="752">
        <f t="shared" si="71"/>
        <v>0</v>
      </c>
      <c r="G53" s="739">
        <f t="shared" si="71"/>
        <v>0</v>
      </c>
      <c r="H53" s="800">
        <f t="shared" si="71"/>
        <v>0</v>
      </c>
      <c r="I53" s="752">
        <f t="shared" si="71"/>
        <v>0</v>
      </c>
      <c r="J53" s="739">
        <f t="shared" si="71"/>
        <v>0</v>
      </c>
      <c r="K53" s="800">
        <f t="shared" si="71"/>
        <v>0</v>
      </c>
      <c r="L53" s="752">
        <f t="shared" si="71"/>
        <v>0</v>
      </c>
      <c r="M53" s="739">
        <f t="shared" si="71"/>
        <v>0</v>
      </c>
      <c r="N53" s="800">
        <f t="shared" si="71"/>
        <v>0</v>
      </c>
      <c r="O53" s="752">
        <f t="shared" si="71"/>
        <v>0</v>
      </c>
      <c r="P53" s="739">
        <f t="shared" si="71"/>
        <v>0</v>
      </c>
      <c r="Q53" s="800">
        <f t="shared" si="71"/>
        <v>0</v>
      </c>
      <c r="R53" s="752">
        <f t="shared" si="71"/>
        <v>0</v>
      </c>
      <c r="S53" s="739">
        <f t="shared" si="71"/>
        <v>0</v>
      </c>
      <c r="T53" s="800">
        <f t="shared" si="71"/>
        <v>0</v>
      </c>
      <c r="U53" s="752">
        <f t="shared" si="71"/>
        <v>0</v>
      </c>
      <c r="V53" s="739">
        <f t="shared" si="71"/>
        <v>0</v>
      </c>
      <c r="W53" s="800">
        <f t="shared" si="71"/>
        <v>0</v>
      </c>
      <c r="X53" s="752">
        <f t="shared" si="71"/>
        <v>0</v>
      </c>
      <c r="Y53" s="739">
        <f t="shared" si="71"/>
        <v>0</v>
      </c>
      <c r="Z53" s="800">
        <f t="shared" si="71"/>
        <v>0</v>
      </c>
      <c r="AA53" s="752">
        <f t="shared" si="71"/>
        <v>0</v>
      </c>
      <c r="AB53" s="739">
        <f t="shared" si="71"/>
        <v>0</v>
      </c>
      <c r="AC53" s="800">
        <f t="shared" si="71"/>
        <v>0</v>
      </c>
      <c r="AD53" s="752">
        <f t="shared" si="71"/>
        <v>0</v>
      </c>
      <c r="AE53" s="739">
        <f t="shared" si="71"/>
        <v>0</v>
      </c>
      <c r="AF53" s="800">
        <f t="shared" si="71"/>
        <v>0</v>
      </c>
      <c r="AG53" s="752">
        <f t="shared" si="71"/>
        <v>0</v>
      </c>
      <c r="AH53" s="739">
        <f t="shared" si="71"/>
        <v>409000</v>
      </c>
      <c r="AI53" s="800">
        <f t="shared" si="71"/>
        <v>413400</v>
      </c>
      <c r="AJ53" s="752">
        <f t="shared" si="71"/>
        <v>486133</v>
      </c>
      <c r="AK53" s="739">
        <f t="shared" si="71"/>
        <v>0</v>
      </c>
      <c r="AL53" s="800">
        <f t="shared" si="71"/>
        <v>0</v>
      </c>
      <c r="AM53" s="752">
        <f t="shared" si="71"/>
        <v>0</v>
      </c>
      <c r="AN53" s="739">
        <f t="shared" si="71"/>
        <v>0</v>
      </c>
      <c r="AO53" s="800">
        <f t="shared" si="71"/>
        <v>0</v>
      </c>
      <c r="AP53" s="752">
        <f t="shared" si="71"/>
        <v>0</v>
      </c>
      <c r="AQ53" s="739">
        <f t="shared" si="71"/>
        <v>0</v>
      </c>
      <c r="AR53" s="800">
        <f t="shared" si="71"/>
        <v>0</v>
      </c>
      <c r="AS53" s="752">
        <f t="shared" si="71"/>
        <v>0</v>
      </c>
      <c r="AT53" s="739">
        <f t="shared" si="71"/>
        <v>0</v>
      </c>
      <c r="AU53" s="800">
        <f t="shared" si="71"/>
        <v>0</v>
      </c>
      <c r="AV53" s="752">
        <f t="shared" si="71"/>
        <v>0</v>
      </c>
      <c r="AW53" s="739">
        <f t="shared" si="71"/>
        <v>0</v>
      </c>
      <c r="AX53" s="800">
        <f t="shared" si="71"/>
        <v>0</v>
      </c>
      <c r="AY53" s="752">
        <f t="shared" si="71"/>
        <v>0</v>
      </c>
      <c r="AZ53" s="739">
        <f t="shared" si="71"/>
        <v>0</v>
      </c>
      <c r="BA53" s="800">
        <f t="shared" si="71"/>
        <v>0</v>
      </c>
      <c r="BB53" s="752">
        <f t="shared" si="71"/>
        <v>0</v>
      </c>
      <c r="BC53" s="739">
        <f t="shared" si="71"/>
        <v>0</v>
      </c>
      <c r="BD53" s="800">
        <f t="shared" si="71"/>
        <v>0</v>
      </c>
      <c r="BE53" s="752">
        <f t="shared" si="71"/>
        <v>0</v>
      </c>
      <c r="BF53" s="739">
        <f>BF54+BF63+BF70+BF76</f>
        <v>492182</v>
      </c>
      <c r="BG53" s="800">
        <f aca="true" t="shared" si="72" ref="BG53:CO53">BG54+BG63+BG70+BG76</f>
        <v>185295</v>
      </c>
      <c r="BH53" s="752">
        <f t="shared" si="72"/>
        <v>126714.401</v>
      </c>
      <c r="BI53" s="739">
        <f t="shared" si="72"/>
        <v>901182</v>
      </c>
      <c r="BJ53" s="800">
        <f t="shared" si="72"/>
        <v>598695</v>
      </c>
      <c r="BK53" s="752">
        <f t="shared" si="72"/>
        <v>612847.4010000001</v>
      </c>
      <c r="BL53" s="739">
        <f t="shared" si="72"/>
        <v>0</v>
      </c>
      <c r="BM53" s="800">
        <f t="shared" si="72"/>
        <v>0</v>
      </c>
      <c r="BN53" s="752">
        <f t="shared" si="72"/>
        <v>0</v>
      </c>
      <c r="BO53" s="739">
        <f t="shared" si="72"/>
        <v>0</v>
      </c>
      <c r="BP53" s="800">
        <f t="shared" si="72"/>
        <v>0</v>
      </c>
      <c r="BQ53" s="752">
        <f t="shared" si="72"/>
        <v>0</v>
      </c>
      <c r="BR53" s="739">
        <f t="shared" si="72"/>
        <v>0</v>
      </c>
      <c r="BS53" s="800">
        <f t="shared" si="72"/>
        <v>0</v>
      </c>
      <c r="BT53" s="752">
        <f t="shared" si="72"/>
        <v>0</v>
      </c>
      <c r="BU53" s="739">
        <f t="shared" si="72"/>
        <v>0</v>
      </c>
      <c r="BV53" s="800">
        <f t="shared" si="72"/>
        <v>0</v>
      </c>
      <c r="BW53" s="752">
        <f t="shared" si="72"/>
        <v>0</v>
      </c>
      <c r="BX53" s="739">
        <f t="shared" si="72"/>
        <v>0</v>
      </c>
      <c r="BY53" s="800">
        <f t="shared" si="72"/>
        <v>0</v>
      </c>
      <c r="BZ53" s="752">
        <f t="shared" si="72"/>
        <v>0</v>
      </c>
      <c r="CA53" s="739">
        <f t="shared" si="72"/>
        <v>0</v>
      </c>
      <c r="CB53" s="800">
        <f t="shared" si="72"/>
        <v>0</v>
      </c>
      <c r="CC53" s="752">
        <f t="shared" si="72"/>
        <v>0</v>
      </c>
      <c r="CD53" s="739">
        <f t="shared" si="72"/>
        <v>0</v>
      </c>
      <c r="CE53" s="800">
        <f t="shared" si="72"/>
        <v>0</v>
      </c>
      <c r="CF53" s="752">
        <f t="shared" si="72"/>
        <v>0</v>
      </c>
      <c r="CG53" s="739">
        <f t="shared" si="72"/>
        <v>0</v>
      </c>
      <c r="CH53" s="800">
        <f t="shared" si="72"/>
        <v>0</v>
      </c>
      <c r="CI53" s="752">
        <f t="shared" si="72"/>
        <v>0</v>
      </c>
      <c r="CJ53" s="739">
        <f t="shared" si="72"/>
        <v>23000</v>
      </c>
      <c r="CK53" s="800">
        <f t="shared" si="72"/>
        <v>26860.09</v>
      </c>
      <c r="CL53" s="752">
        <f t="shared" si="72"/>
        <v>27405</v>
      </c>
      <c r="CM53" s="739">
        <f t="shared" si="72"/>
        <v>23000</v>
      </c>
      <c r="CN53" s="800">
        <f t="shared" si="72"/>
        <v>26860.09</v>
      </c>
      <c r="CO53" s="752">
        <f t="shared" si="72"/>
        <v>27405</v>
      </c>
      <c r="CP53" s="739">
        <f t="shared" si="61"/>
        <v>924182</v>
      </c>
      <c r="CQ53" s="800">
        <f t="shared" si="62"/>
        <v>625555.09</v>
      </c>
      <c r="CR53" s="752">
        <f t="shared" si="63"/>
        <v>640252.4010000001</v>
      </c>
      <c r="CS53" s="739">
        <f aca="true" t="shared" si="73" ref="CS53:DP53">CS54+CS63+CS70+CS76</f>
        <v>0</v>
      </c>
      <c r="CT53" s="800">
        <f t="shared" si="73"/>
        <v>0</v>
      </c>
      <c r="CU53" s="752">
        <f t="shared" si="73"/>
        <v>0</v>
      </c>
      <c r="CV53" s="739">
        <f t="shared" si="73"/>
        <v>0</v>
      </c>
      <c r="CW53" s="800">
        <f t="shared" si="73"/>
        <v>0</v>
      </c>
      <c r="CX53" s="752">
        <f t="shared" si="73"/>
        <v>0</v>
      </c>
      <c r="CY53" s="739">
        <f t="shared" si="73"/>
        <v>0</v>
      </c>
      <c r="CZ53" s="800">
        <f t="shared" si="73"/>
        <v>0</v>
      </c>
      <c r="DA53" s="752">
        <f t="shared" si="73"/>
        <v>0</v>
      </c>
      <c r="DB53" s="739">
        <f t="shared" si="73"/>
        <v>1800</v>
      </c>
      <c r="DC53" s="800">
        <f t="shared" si="73"/>
        <v>2250</v>
      </c>
      <c r="DD53" s="752">
        <f t="shared" si="73"/>
        <v>2117</v>
      </c>
      <c r="DE53" s="739">
        <f t="shared" si="73"/>
        <v>1800</v>
      </c>
      <c r="DF53" s="800">
        <f t="shared" si="73"/>
        <v>2250</v>
      </c>
      <c r="DG53" s="752">
        <f t="shared" si="73"/>
        <v>2117</v>
      </c>
      <c r="DH53" s="739">
        <f t="shared" si="73"/>
        <v>0</v>
      </c>
      <c r="DI53" s="800">
        <f t="shared" si="73"/>
        <v>0</v>
      </c>
      <c r="DJ53" s="752">
        <f t="shared" si="73"/>
        <v>0</v>
      </c>
      <c r="DK53" s="739">
        <f t="shared" si="73"/>
        <v>0</v>
      </c>
      <c r="DL53" s="800">
        <f t="shared" si="73"/>
        <v>0</v>
      </c>
      <c r="DM53" s="752">
        <f t="shared" si="73"/>
        <v>0</v>
      </c>
      <c r="DN53" s="739">
        <f t="shared" si="73"/>
        <v>925982</v>
      </c>
      <c r="DO53" s="800">
        <f t="shared" si="73"/>
        <v>627805.09</v>
      </c>
      <c r="DP53" s="752">
        <f t="shared" si="73"/>
        <v>642369.4010000001</v>
      </c>
      <c r="DQ53" s="822">
        <f>DP53/DO53*100</f>
        <v>102.319877814307</v>
      </c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</row>
    <row r="54" spans="1:218" ht="12.75" customHeight="1">
      <c r="A54" s="723" t="s">
        <v>482</v>
      </c>
      <c r="B54" s="712" t="s">
        <v>1000</v>
      </c>
      <c r="C54" s="1960"/>
      <c r="D54" s="739">
        <f>D55+D62</f>
        <v>0</v>
      </c>
      <c r="E54" s="800">
        <f>E55+E62</f>
        <v>0</v>
      </c>
      <c r="F54" s="752">
        <f aca="true" t="shared" si="74" ref="F54:BN54">F55+F62</f>
        <v>0</v>
      </c>
      <c r="G54" s="739">
        <f t="shared" si="74"/>
        <v>0</v>
      </c>
      <c r="H54" s="800">
        <f t="shared" si="74"/>
        <v>0</v>
      </c>
      <c r="I54" s="752">
        <f t="shared" si="74"/>
        <v>0</v>
      </c>
      <c r="J54" s="739">
        <f t="shared" si="74"/>
        <v>0</v>
      </c>
      <c r="K54" s="800">
        <f t="shared" si="74"/>
        <v>0</v>
      </c>
      <c r="L54" s="752">
        <f t="shared" si="74"/>
        <v>0</v>
      </c>
      <c r="M54" s="739">
        <f t="shared" si="74"/>
        <v>0</v>
      </c>
      <c r="N54" s="800">
        <f t="shared" si="74"/>
        <v>0</v>
      </c>
      <c r="O54" s="752">
        <f t="shared" si="74"/>
        <v>0</v>
      </c>
      <c r="P54" s="739">
        <f t="shared" si="74"/>
        <v>0</v>
      </c>
      <c r="Q54" s="800">
        <f t="shared" si="74"/>
        <v>0</v>
      </c>
      <c r="R54" s="752">
        <f t="shared" si="74"/>
        <v>0</v>
      </c>
      <c r="S54" s="739">
        <f t="shared" si="74"/>
        <v>0</v>
      </c>
      <c r="T54" s="800">
        <f t="shared" si="74"/>
        <v>0</v>
      </c>
      <c r="U54" s="752">
        <f t="shared" si="74"/>
        <v>0</v>
      </c>
      <c r="V54" s="739">
        <f t="shared" si="74"/>
        <v>0</v>
      </c>
      <c r="W54" s="800">
        <f t="shared" si="74"/>
        <v>0</v>
      </c>
      <c r="X54" s="752">
        <f t="shared" si="74"/>
        <v>0</v>
      </c>
      <c r="Y54" s="739">
        <f t="shared" si="74"/>
        <v>0</v>
      </c>
      <c r="Z54" s="800">
        <f t="shared" si="74"/>
        <v>0</v>
      </c>
      <c r="AA54" s="752">
        <f t="shared" si="74"/>
        <v>0</v>
      </c>
      <c r="AB54" s="739">
        <f t="shared" si="74"/>
        <v>0</v>
      </c>
      <c r="AC54" s="800">
        <f t="shared" si="74"/>
        <v>0</v>
      </c>
      <c r="AD54" s="752">
        <f t="shared" si="74"/>
        <v>0</v>
      </c>
      <c r="AE54" s="739">
        <f t="shared" si="74"/>
        <v>0</v>
      </c>
      <c r="AF54" s="800">
        <f t="shared" si="74"/>
        <v>0</v>
      </c>
      <c r="AG54" s="752">
        <f t="shared" si="74"/>
        <v>0</v>
      </c>
      <c r="AH54" s="739">
        <f t="shared" si="74"/>
        <v>164000</v>
      </c>
      <c r="AI54" s="800">
        <f t="shared" si="74"/>
        <v>163400</v>
      </c>
      <c r="AJ54" s="752">
        <f t="shared" si="74"/>
        <v>226087</v>
      </c>
      <c r="AK54" s="739">
        <f t="shared" si="74"/>
        <v>0</v>
      </c>
      <c r="AL54" s="800">
        <f t="shared" si="74"/>
        <v>0</v>
      </c>
      <c r="AM54" s="752">
        <f t="shared" si="74"/>
        <v>0</v>
      </c>
      <c r="AN54" s="739">
        <f t="shared" si="74"/>
        <v>0</v>
      </c>
      <c r="AO54" s="800">
        <f t="shared" si="74"/>
        <v>0</v>
      </c>
      <c r="AP54" s="752">
        <f t="shared" si="74"/>
        <v>0</v>
      </c>
      <c r="AQ54" s="739">
        <f t="shared" si="74"/>
        <v>0</v>
      </c>
      <c r="AR54" s="800">
        <f t="shared" si="74"/>
        <v>0</v>
      </c>
      <c r="AS54" s="752">
        <f t="shared" si="74"/>
        <v>0</v>
      </c>
      <c r="AT54" s="739">
        <f t="shared" si="74"/>
        <v>0</v>
      </c>
      <c r="AU54" s="800">
        <f t="shared" si="74"/>
        <v>0</v>
      </c>
      <c r="AV54" s="752">
        <f t="shared" si="74"/>
        <v>0</v>
      </c>
      <c r="AW54" s="739">
        <f t="shared" si="74"/>
        <v>0</v>
      </c>
      <c r="AX54" s="800">
        <f t="shared" si="74"/>
        <v>0</v>
      </c>
      <c r="AY54" s="752">
        <f t="shared" si="74"/>
        <v>0</v>
      </c>
      <c r="AZ54" s="739">
        <f t="shared" si="74"/>
        <v>0</v>
      </c>
      <c r="BA54" s="800">
        <f t="shared" si="74"/>
        <v>0</v>
      </c>
      <c r="BB54" s="752">
        <f t="shared" si="74"/>
        <v>0</v>
      </c>
      <c r="BC54" s="739">
        <f t="shared" si="74"/>
        <v>0</v>
      </c>
      <c r="BD54" s="800">
        <f t="shared" si="74"/>
        <v>0</v>
      </c>
      <c r="BE54" s="752">
        <f t="shared" si="74"/>
        <v>0</v>
      </c>
      <c r="BF54" s="739">
        <f t="shared" si="74"/>
        <v>220000</v>
      </c>
      <c r="BG54" s="800">
        <f t="shared" si="74"/>
        <v>82000</v>
      </c>
      <c r="BH54" s="752">
        <f t="shared" si="74"/>
        <v>3294</v>
      </c>
      <c r="BI54" s="739">
        <f t="shared" si="74"/>
        <v>384000</v>
      </c>
      <c r="BJ54" s="800">
        <f t="shared" si="74"/>
        <v>245400</v>
      </c>
      <c r="BK54" s="752">
        <f t="shared" si="74"/>
        <v>229381</v>
      </c>
      <c r="BL54" s="739">
        <f t="shared" si="74"/>
        <v>0</v>
      </c>
      <c r="BM54" s="800">
        <f t="shared" si="74"/>
        <v>0</v>
      </c>
      <c r="BN54" s="752">
        <f t="shared" si="74"/>
        <v>0</v>
      </c>
      <c r="BO54" s="739">
        <f aca="true" t="shared" si="75" ref="BO54:CO54">BO55+BO62</f>
        <v>0</v>
      </c>
      <c r="BP54" s="800">
        <f t="shared" si="75"/>
        <v>0</v>
      </c>
      <c r="BQ54" s="752">
        <f t="shared" si="75"/>
        <v>0</v>
      </c>
      <c r="BR54" s="739">
        <f t="shared" si="75"/>
        <v>0</v>
      </c>
      <c r="BS54" s="800">
        <f t="shared" si="75"/>
        <v>0</v>
      </c>
      <c r="BT54" s="752">
        <f t="shared" si="75"/>
        <v>0</v>
      </c>
      <c r="BU54" s="739">
        <f t="shared" si="75"/>
        <v>0</v>
      </c>
      <c r="BV54" s="800">
        <f t="shared" si="75"/>
        <v>0</v>
      </c>
      <c r="BW54" s="752">
        <f t="shared" si="75"/>
        <v>0</v>
      </c>
      <c r="BX54" s="739">
        <f t="shared" si="75"/>
        <v>0</v>
      </c>
      <c r="BY54" s="800">
        <f t="shared" si="75"/>
        <v>0</v>
      </c>
      <c r="BZ54" s="752">
        <f t="shared" si="75"/>
        <v>0</v>
      </c>
      <c r="CA54" s="739">
        <f t="shared" si="75"/>
        <v>0</v>
      </c>
      <c r="CB54" s="800">
        <f t="shared" si="75"/>
        <v>0</v>
      </c>
      <c r="CC54" s="752">
        <f t="shared" si="75"/>
        <v>0</v>
      </c>
      <c r="CD54" s="739">
        <f t="shared" si="75"/>
        <v>0</v>
      </c>
      <c r="CE54" s="800">
        <f t="shared" si="75"/>
        <v>0</v>
      </c>
      <c r="CF54" s="752">
        <f t="shared" si="75"/>
        <v>0</v>
      </c>
      <c r="CG54" s="739">
        <f t="shared" si="75"/>
        <v>0</v>
      </c>
      <c r="CH54" s="800">
        <f t="shared" si="75"/>
        <v>0</v>
      </c>
      <c r="CI54" s="752">
        <f t="shared" si="75"/>
        <v>0</v>
      </c>
      <c r="CJ54" s="739">
        <f t="shared" si="75"/>
        <v>0</v>
      </c>
      <c r="CK54" s="800">
        <f t="shared" si="75"/>
        <v>0</v>
      </c>
      <c r="CL54" s="752">
        <f t="shared" si="75"/>
        <v>0</v>
      </c>
      <c r="CM54" s="739">
        <f t="shared" si="75"/>
        <v>0</v>
      </c>
      <c r="CN54" s="800">
        <f t="shared" si="75"/>
        <v>0</v>
      </c>
      <c r="CO54" s="752">
        <f t="shared" si="75"/>
        <v>0</v>
      </c>
      <c r="CP54" s="739">
        <f t="shared" si="61"/>
        <v>384000</v>
      </c>
      <c r="CQ54" s="800">
        <f t="shared" si="62"/>
        <v>245400</v>
      </c>
      <c r="CR54" s="752">
        <f t="shared" si="63"/>
        <v>229381</v>
      </c>
      <c r="CS54" s="739">
        <f aca="true" t="shared" si="76" ref="CS54:DA54">CS55+CS62</f>
        <v>0</v>
      </c>
      <c r="CT54" s="800">
        <f t="shared" si="76"/>
        <v>0</v>
      </c>
      <c r="CU54" s="752">
        <f t="shared" si="76"/>
        <v>0</v>
      </c>
      <c r="CV54" s="739">
        <f>CV55+CV62</f>
        <v>0</v>
      </c>
      <c r="CW54" s="800">
        <f>CW55+CW62</f>
        <v>0</v>
      </c>
      <c r="CX54" s="752">
        <f>CX55+CX62</f>
        <v>0</v>
      </c>
      <c r="CY54" s="739">
        <f t="shared" si="76"/>
        <v>0</v>
      </c>
      <c r="CZ54" s="800">
        <f t="shared" si="76"/>
        <v>0</v>
      </c>
      <c r="DA54" s="752">
        <f t="shared" si="76"/>
        <v>0</v>
      </c>
      <c r="DB54" s="739">
        <f aca="true" t="shared" si="77" ref="DB54:DG54">DB55+DB62</f>
        <v>0</v>
      </c>
      <c r="DC54" s="800">
        <f t="shared" si="77"/>
        <v>450</v>
      </c>
      <c r="DD54" s="752">
        <f t="shared" si="77"/>
        <v>450</v>
      </c>
      <c r="DE54" s="739">
        <f t="shared" si="77"/>
        <v>0</v>
      </c>
      <c r="DF54" s="800">
        <f t="shared" si="77"/>
        <v>450</v>
      </c>
      <c r="DG54" s="752">
        <f t="shared" si="77"/>
        <v>450</v>
      </c>
      <c r="DH54" s="739">
        <f aca="true" t="shared" si="78" ref="DH54:DP54">DH55+DH62</f>
        <v>0</v>
      </c>
      <c r="DI54" s="800">
        <f t="shared" si="78"/>
        <v>0</v>
      </c>
      <c r="DJ54" s="752">
        <f t="shared" si="78"/>
        <v>0</v>
      </c>
      <c r="DK54" s="739">
        <f t="shared" si="78"/>
        <v>0</v>
      </c>
      <c r="DL54" s="800">
        <f t="shared" si="78"/>
        <v>0</v>
      </c>
      <c r="DM54" s="752">
        <f t="shared" si="78"/>
        <v>0</v>
      </c>
      <c r="DN54" s="739">
        <f t="shared" si="78"/>
        <v>384000</v>
      </c>
      <c r="DO54" s="800">
        <f t="shared" si="78"/>
        <v>245850</v>
      </c>
      <c r="DP54" s="752">
        <f t="shared" si="78"/>
        <v>229831</v>
      </c>
      <c r="DQ54" s="822">
        <f>DP54/DO54*100</f>
        <v>93.48423835672158</v>
      </c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154"/>
      <c r="HJ54" s="154"/>
    </row>
    <row r="55" spans="1:218" ht="12.75" customHeight="1">
      <c r="A55" s="724"/>
      <c r="B55" s="726" t="s">
        <v>45</v>
      </c>
      <c r="C55" s="1972"/>
      <c r="D55" s="743">
        <f aca="true" t="shared" si="79" ref="D55:AS55">SUM(D56:D61)</f>
        <v>0</v>
      </c>
      <c r="E55" s="804">
        <f t="shared" si="79"/>
        <v>0</v>
      </c>
      <c r="F55" s="756">
        <f t="shared" si="79"/>
        <v>0</v>
      </c>
      <c r="G55" s="743">
        <f t="shared" si="79"/>
        <v>0</v>
      </c>
      <c r="H55" s="804">
        <f t="shared" si="79"/>
        <v>0</v>
      </c>
      <c r="I55" s="756">
        <f t="shared" si="79"/>
        <v>0</v>
      </c>
      <c r="J55" s="743">
        <f t="shared" si="79"/>
        <v>0</v>
      </c>
      <c r="K55" s="804">
        <f t="shared" si="79"/>
        <v>0</v>
      </c>
      <c r="L55" s="756">
        <f t="shared" si="79"/>
        <v>0</v>
      </c>
      <c r="M55" s="743">
        <f t="shared" si="79"/>
        <v>0</v>
      </c>
      <c r="N55" s="804">
        <f t="shared" si="79"/>
        <v>0</v>
      </c>
      <c r="O55" s="756">
        <f t="shared" si="79"/>
        <v>0</v>
      </c>
      <c r="P55" s="743">
        <f t="shared" si="79"/>
        <v>0</v>
      </c>
      <c r="Q55" s="804">
        <f t="shared" si="79"/>
        <v>0</v>
      </c>
      <c r="R55" s="756">
        <f t="shared" si="79"/>
        <v>0</v>
      </c>
      <c r="S55" s="743">
        <f t="shared" si="79"/>
        <v>0</v>
      </c>
      <c r="T55" s="804">
        <f t="shared" si="79"/>
        <v>0</v>
      </c>
      <c r="U55" s="756">
        <f t="shared" si="79"/>
        <v>0</v>
      </c>
      <c r="V55" s="743">
        <f t="shared" si="79"/>
        <v>0</v>
      </c>
      <c r="W55" s="804">
        <f t="shared" si="79"/>
        <v>0</v>
      </c>
      <c r="X55" s="756">
        <f t="shared" si="79"/>
        <v>0</v>
      </c>
      <c r="Y55" s="743">
        <f t="shared" si="79"/>
        <v>0</v>
      </c>
      <c r="Z55" s="804">
        <f t="shared" si="79"/>
        <v>0</v>
      </c>
      <c r="AA55" s="756">
        <f t="shared" si="79"/>
        <v>0</v>
      </c>
      <c r="AB55" s="743">
        <f t="shared" si="79"/>
        <v>0</v>
      </c>
      <c r="AC55" s="804">
        <f t="shared" si="79"/>
        <v>0</v>
      </c>
      <c r="AD55" s="756">
        <f t="shared" si="79"/>
        <v>0</v>
      </c>
      <c r="AE55" s="743">
        <f t="shared" si="79"/>
        <v>0</v>
      </c>
      <c r="AF55" s="804">
        <f t="shared" si="79"/>
        <v>0</v>
      </c>
      <c r="AG55" s="756">
        <f t="shared" si="79"/>
        <v>0</v>
      </c>
      <c r="AH55" s="743">
        <f t="shared" si="79"/>
        <v>164000</v>
      </c>
      <c r="AI55" s="804">
        <f t="shared" si="79"/>
        <v>163400</v>
      </c>
      <c r="AJ55" s="756">
        <f t="shared" si="79"/>
        <v>226087</v>
      </c>
      <c r="AK55" s="743">
        <f t="shared" si="79"/>
        <v>0</v>
      </c>
      <c r="AL55" s="804">
        <f t="shared" si="79"/>
        <v>0</v>
      </c>
      <c r="AM55" s="756">
        <f t="shared" si="79"/>
        <v>0</v>
      </c>
      <c r="AN55" s="743">
        <f t="shared" si="79"/>
        <v>0</v>
      </c>
      <c r="AO55" s="804">
        <f t="shared" si="79"/>
        <v>0</v>
      </c>
      <c r="AP55" s="756">
        <f t="shared" si="79"/>
        <v>0</v>
      </c>
      <c r="AQ55" s="743">
        <f t="shared" si="79"/>
        <v>0</v>
      </c>
      <c r="AR55" s="804">
        <f t="shared" si="79"/>
        <v>0</v>
      </c>
      <c r="AS55" s="756">
        <f t="shared" si="79"/>
        <v>0</v>
      </c>
      <c r="AT55" s="743">
        <f>SUM(AT56:AT61)</f>
        <v>0</v>
      </c>
      <c r="AU55" s="804">
        <f aca="true" t="shared" si="80" ref="AU55:CO55">SUM(AU56:AU61)</f>
        <v>0</v>
      </c>
      <c r="AV55" s="756">
        <f t="shared" si="80"/>
        <v>0</v>
      </c>
      <c r="AW55" s="743">
        <f t="shared" si="80"/>
        <v>0</v>
      </c>
      <c r="AX55" s="804">
        <f t="shared" si="80"/>
        <v>0</v>
      </c>
      <c r="AY55" s="756">
        <f t="shared" si="80"/>
        <v>0</v>
      </c>
      <c r="AZ55" s="743">
        <f t="shared" si="80"/>
        <v>0</v>
      </c>
      <c r="BA55" s="804">
        <f t="shared" si="80"/>
        <v>0</v>
      </c>
      <c r="BB55" s="756">
        <f t="shared" si="80"/>
        <v>0</v>
      </c>
      <c r="BC55" s="743">
        <f t="shared" si="80"/>
        <v>0</v>
      </c>
      <c r="BD55" s="804">
        <f t="shared" si="80"/>
        <v>0</v>
      </c>
      <c r="BE55" s="756">
        <f t="shared" si="80"/>
        <v>0</v>
      </c>
      <c r="BF55" s="743">
        <f t="shared" si="80"/>
        <v>220000</v>
      </c>
      <c r="BG55" s="804">
        <f t="shared" si="80"/>
        <v>82000</v>
      </c>
      <c r="BH55" s="756">
        <f t="shared" si="80"/>
        <v>3294</v>
      </c>
      <c r="BI55" s="743">
        <f t="shared" si="80"/>
        <v>384000</v>
      </c>
      <c r="BJ55" s="804">
        <f t="shared" si="80"/>
        <v>245400</v>
      </c>
      <c r="BK55" s="756">
        <f t="shared" si="80"/>
        <v>229381</v>
      </c>
      <c r="BL55" s="743">
        <f t="shared" si="80"/>
        <v>0</v>
      </c>
      <c r="BM55" s="804">
        <f t="shared" si="80"/>
        <v>0</v>
      </c>
      <c r="BN55" s="756">
        <f t="shared" si="80"/>
        <v>0</v>
      </c>
      <c r="BO55" s="743">
        <f t="shared" si="80"/>
        <v>0</v>
      </c>
      <c r="BP55" s="804">
        <f t="shared" si="80"/>
        <v>0</v>
      </c>
      <c r="BQ55" s="756">
        <f t="shared" si="80"/>
        <v>0</v>
      </c>
      <c r="BR55" s="743">
        <f t="shared" si="80"/>
        <v>0</v>
      </c>
      <c r="BS55" s="804">
        <f t="shared" si="80"/>
        <v>0</v>
      </c>
      <c r="BT55" s="756">
        <f t="shared" si="80"/>
        <v>0</v>
      </c>
      <c r="BU55" s="743">
        <f t="shared" si="80"/>
        <v>0</v>
      </c>
      <c r="BV55" s="804">
        <f t="shared" si="80"/>
        <v>0</v>
      </c>
      <c r="BW55" s="756">
        <f t="shared" si="80"/>
        <v>0</v>
      </c>
      <c r="BX55" s="743">
        <f t="shared" si="80"/>
        <v>0</v>
      </c>
      <c r="BY55" s="804">
        <f t="shared" si="80"/>
        <v>0</v>
      </c>
      <c r="BZ55" s="756">
        <f t="shared" si="80"/>
        <v>0</v>
      </c>
      <c r="CA55" s="743">
        <f t="shared" si="80"/>
        <v>0</v>
      </c>
      <c r="CB55" s="804">
        <f t="shared" si="80"/>
        <v>0</v>
      </c>
      <c r="CC55" s="756">
        <f t="shared" si="80"/>
        <v>0</v>
      </c>
      <c r="CD55" s="743">
        <f t="shared" si="80"/>
        <v>0</v>
      </c>
      <c r="CE55" s="804">
        <f t="shared" si="80"/>
        <v>0</v>
      </c>
      <c r="CF55" s="756">
        <f t="shared" si="80"/>
        <v>0</v>
      </c>
      <c r="CG55" s="743">
        <f t="shared" si="80"/>
        <v>0</v>
      </c>
      <c r="CH55" s="804">
        <f t="shared" si="80"/>
        <v>0</v>
      </c>
      <c r="CI55" s="756">
        <f t="shared" si="80"/>
        <v>0</v>
      </c>
      <c r="CJ55" s="743">
        <f t="shared" si="80"/>
        <v>0</v>
      </c>
      <c r="CK55" s="804">
        <f t="shared" si="80"/>
        <v>0</v>
      </c>
      <c r="CL55" s="756">
        <f t="shared" si="80"/>
        <v>0</v>
      </c>
      <c r="CM55" s="743">
        <f t="shared" si="80"/>
        <v>0</v>
      </c>
      <c r="CN55" s="804">
        <f t="shared" si="80"/>
        <v>0</v>
      </c>
      <c r="CO55" s="756">
        <f t="shared" si="80"/>
        <v>0</v>
      </c>
      <c r="CP55" s="743">
        <f t="shared" si="61"/>
        <v>384000</v>
      </c>
      <c r="CQ55" s="804">
        <f t="shared" si="62"/>
        <v>245400</v>
      </c>
      <c r="CR55" s="756">
        <f t="shared" si="63"/>
        <v>229381</v>
      </c>
      <c r="CS55" s="743">
        <f aca="true" t="shared" si="81" ref="CS55:DA55">SUM(CS56:CS60)</f>
        <v>0</v>
      </c>
      <c r="CT55" s="804">
        <f t="shared" si="81"/>
        <v>0</v>
      </c>
      <c r="CU55" s="756">
        <f t="shared" si="81"/>
        <v>0</v>
      </c>
      <c r="CV55" s="743">
        <f>SUM(CV56:CV60)</f>
        <v>0</v>
      </c>
      <c r="CW55" s="804">
        <f>SUM(CW56:CW60)</f>
        <v>0</v>
      </c>
      <c r="CX55" s="756">
        <f>SUM(CX56:CX60)</f>
        <v>0</v>
      </c>
      <c r="CY55" s="743">
        <f t="shared" si="81"/>
        <v>0</v>
      </c>
      <c r="CZ55" s="804">
        <f t="shared" si="81"/>
        <v>0</v>
      </c>
      <c r="DA55" s="756">
        <f t="shared" si="81"/>
        <v>0</v>
      </c>
      <c r="DB55" s="743">
        <f>SUM(DB56:DB60)</f>
        <v>0</v>
      </c>
      <c r="DC55" s="804">
        <f>SUM(DC56:DC60)</f>
        <v>0</v>
      </c>
      <c r="DD55" s="756">
        <f>SUM(DD56:DD60)</f>
        <v>0</v>
      </c>
      <c r="DE55" s="743">
        <f aca="true" t="shared" si="82" ref="DE55:DE62">CS55+CV55+CY55+DB55</f>
        <v>0</v>
      </c>
      <c r="DF55" s="804">
        <f aca="true" t="shared" si="83" ref="DF55:DF62">CT55+CW55+CZ55+DC55</f>
        <v>0</v>
      </c>
      <c r="DG55" s="756">
        <f aca="true" t="shared" si="84" ref="DG55:DG62">CU55+CX55+DA55+DD55</f>
        <v>0</v>
      </c>
      <c r="DH55" s="743">
        <f aca="true" t="shared" si="85" ref="DH55:DM55">SUM(DH56:DH60)</f>
        <v>0</v>
      </c>
      <c r="DI55" s="804">
        <f t="shared" si="85"/>
        <v>0</v>
      </c>
      <c r="DJ55" s="756">
        <f t="shared" si="85"/>
        <v>0</v>
      </c>
      <c r="DK55" s="743">
        <f t="shared" si="85"/>
        <v>0</v>
      </c>
      <c r="DL55" s="804">
        <f t="shared" si="85"/>
        <v>0</v>
      </c>
      <c r="DM55" s="756">
        <f t="shared" si="85"/>
        <v>0</v>
      </c>
      <c r="DN55" s="743">
        <f>CP55+DE55+DH55+DK55</f>
        <v>384000</v>
      </c>
      <c r="DO55" s="804">
        <f>CQ55+DF55+DI55+DL55</f>
        <v>245400</v>
      </c>
      <c r="DP55" s="756">
        <f>CR55+DG55+DJ55+DM55</f>
        <v>229381</v>
      </c>
      <c r="DQ55" s="823">
        <f t="shared" si="70"/>
        <v>93.47229013854931</v>
      </c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4"/>
      <c r="HI55" s="154"/>
      <c r="HJ55" s="154"/>
    </row>
    <row r="56" spans="1:218" ht="12.75" customHeight="1">
      <c r="A56" s="724"/>
      <c r="B56" s="725" t="s">
        <v>1001</v>
      </c>
      <c r="C56" s="1973">
        <v>9321211</v>
      </c>
      <c r="D56" s="1983"/>
      <c r="E56" s="802"/>
      <c r="F56" s="754"/>
      <c r="G56" s="1983"/>
      <c r="H56" s="802"/>
      <c r="I56" s="754"/>
      <c r="J56" s="1983"/>
      <c r="K56" s="802"/>
      <c r="L56" s="754"/>
      <c r="M56" s="1983"/>
      <c r="N56" s="802"/>
      <c r="O56" s="754"/>
      <c r="P56" s="1983"/>
      <c r="Q56" s="802"/>
      <c r="R56" s="754"/>
      <c r="S56" s="1983"/>
      <c r="T56" s="802"/>
      <c r="U56" s="754"/>
      <c r="V56" s="1983"/>
      <c r="W56" s="802"/>
      <c r="X56" s="754"/>
      <c r="Y56" s="1983"/>
      <c r="Z56" s="802"/>
      <c r="AA56" s="754"/>
      <c r="AB56" s="1983"/>
      <c r="AC56" s="802"/>
      <c r="AD56" s="754"/>
      <c r="AE56" s="1983"/>
      <c r="AF56" s="802"/>
      <c r="AG56" s="754"/>
      <c r="AH56" s="1983">
        <v>160000</v>
      </c>
      <c r="AI56" s="802">
        <v>160000</v>
      </c>
      <c r="AJ56" s="754">
        <v>122169</v>
      </c>
      <c r="AK56" s="1983"/>
      <c r="AL56" s="802"/>
      <c r="AM56" s="754"/>
      <c r="AN56" s="1983"/>
      <c r="AO56" s="802"/>
      <c r="AP56" s="754"/>
      <c r="AQ56" s="1983"/>
      <c r="AR56" s="802"/>
      <c r="AS56" s="754"/>
      <c r="AT56" s="1983"/>
      <c r="AU56" s="802"/>
      <c r="AV56" s="754"/>
      <c r="AW56" s="1983"/>
      <c r="AX56" s="802"/>
      <c r="AY56" s="754"/>
      <c r="AZ56" s="1983"/>
      <c r="BA56" s="802"/>
      <c r="BB56" s="754"/>
      <c r="BC56" s="1983"/>
      <c r="BD56" s="802"/>
      <c r="BE56" s="754"/>
      <c r="BF56" s="1983"/>
      <c r="BG56" s="802"/>
      <c r="BH56" s="754"/>
      <c r="BI56" s="1983">
        <f aca="true" t="shared" si="86" ref="BI56:BI62">D56+G56+J56+M56+P56+S56+V56+Y56+AB56+AE56+AH56+AK56+AN56+AQ56+AT56+AW56+AZ56+BC56+BF56</f>
        <v>160000</v>
      </c>
      <c r="BJ56" s="802">
        <f aca="true" t="shared" si="87" ref="BJ56:BJ62">E56+H56+K56+N56+Q56+T56+W56+Z56+AC56+AF56+AI56+AL56+AO56+AR56+AU56+AX56+BA56+BD56+BG56</f>
        <v>160000</v>
      </c>
      <c r="BK56" s="754">
        <f aca="true" t="shared" si="88" ref="BK56:BK62">F56+I56+L56+O56+R56+U56+X56+AA56+AD56+AG56+AJ56+AM56+AP56+AS56+AV56+AY56+BB56+BE56+BH56</f>
        <v>122169</v>
      </c>
      <c r="BL56" s="741"/>
      <c r="BM56" s="802"/>
      <c r="BN56" s="754"/>
      <c r="BO56" s="741"/>
      <c r="BP56" s="802"/>
      <c r="BQ56" s="754"/>
      <c r="BR56" s="741"/>
      <c r="BS56" s="802"/>
      <c r="BT56" s="754"/>
      <c r="BU56" s="741"/>
      <c r="BV56" s="802"/>
      <c r="BW56" s="754"/>
      <c r="BX56" s="741"/>
      <c r="BY56" s="802"/>
      <c r="BZ56" s="754"/>
      <c r="CA56" s="741"/>
      <c r="CB56" s="802"/>
      <c r="CC56" s="754"/>
      <c r="CD56" s="741"/>
      <c r="CE56" s="802"/>
      <c r="CF56" s="754"/>
      <c r="CG56" s="741"/>
      <c r="CH56" s="802"/>
      <c r="CI56" s="754"/>
      <c r="CJ56" s="741"/>
      <c r="CK56" s="802"/>
      <c r="CL56" s="754"/>
      <c r="CM56" s="741">
        <f aca="true" t="shared" si="89" ref="CM56:CO62">BL56+BO56+BR56+BU56+BX56+CA56+CD56+CG56+CJ56</f>
        <v>0</v>
      </c>
      <c r="CN56" s="802">
        <f t="shared" si="89"/>
        <v>0</v>
      </c>
      <c r="CO56" s="754">
        <f t="shared" si="89"/>
        <v>0</v>
      </c>
      <c r="CP56" s="741">
        <f t="shared" si="61"/>
        <v>160000</v>
      </c>
      <c r="CQ56" s="802">
        <f t="shared" si="62"/>
        <v>160000</v>
      </c>
      <c r="CR56" s="754">
        <f t="shared" si="63"/>
        <v>122169</v>
      </c>
      <c r="CS56" s="741"/>
      <c r="CT56" s="802"/>
      <c r="CU56" s="754"/>
      <c r="CV56" s="741"/>
      <c r="CW56" s="802"/>
      <c r="CX56" s="754"/>
      <c r="CY56" s="741"/>
      <c r="CZ56" s="802"/>
      <c r="DA56" s="754"/>
      <c r="DB56" s="741"/>
      <c r="DC56" s="802"/>
      <c r="DD56" s="754"/>
      <c r="DE56" s="741">
        <f t="shared" si="82"/>
        <v>0</v>
      </c>
      <c r="DF56" s="802">
        <f t="shared" si="83"/>
        <v>0</v>
      </c>
      <c r="DG56" s="754">
        <f t="shared" si="84"/>
        <v>0</v>
      </c>
      <c r="DH56" s="741"/>
      <c r="DI56" s="802"/>
      <c r="DJ56" s="754"/>
      <c r="DK56" s="741"/>
      <c r="DL56" s="802"/>
      <c r="DM56" s="754"/>
      <c r="DN56" s="741">
        <f aca="true" t="shared" si="90" ref="DN56:DN62">CP56+DE56+DH56+DK56</f>
        <v>160000</v>
      </c>
      <c r="DO56" s="802">
        <f aca="true" t="shared" si="91" ref="DO56:DO62">CQ56+DF56+DI56+DL56</f>
        <v>160000</v>
      </c>
      <c r="DP56" s="754">
        <f aca="true" t="shared" si="92" ref="DP56:DP62">CR56+DG56+DJ56+DM56</f>
        <v>122169</v>
      </c>
      <c r="DQ56" s="825">
        <f t="shared" si="70"/>
        <v>76.355625</v>
      </c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154"/>
      <c r="GF56" s="154"/>
      <c r="GG56" s="154"/>
      <c r="GH56" s="154"/>
      <c r="GI56" s="154"/>
      <c r="GJ56" s="154"/>
      <c r="GK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  <c r="HF56" s="154"/>
      <c r="HG56" s="154"/>
      <c r="HH56" s="154"/>
      <c r="HI56" s="154"/>
      <c r="HJ56" s="154"/>
    </row>
    <row r="57" spans="1:218" ht="12.75" customHeight="1">
      <c r="A57" s="724"/>
      <c r="B57" s="725" t="s">
        <v>1002</v>
      </c>
      <c r="C57" s="1973"/>
      <c r="D57" s="1983"/>
      <c r="E57" s="802"/>
      <c r="F57" s="754"/>
      <c r="G57" s="1983"/>
      <c r="H57" s="802"/>
      <c r="I57" s="754"/>
      <c r="J57" s="1983"/>
      <c r="K57" s="802"/>
      <c r="L57" s="754"/>
      <c r="M57" s="1983"/>
      <c r="N57" s="802"/>
      <c r="O57" s="754"/>
      <c r="P57" s="1983"/>
      <c r="Q57" s="802"/>
      <c r="R57" s="754"/>
      <c r="S57" s="1983"/>
      <c r="T57" s="802"/>
      <c r="U57" s="754"/>
      <c r="V57" s="1983"/>
      <c r="W57" s="802"/>
      <c r="X57" s="754"/>
      <c r="Y57" s="1983"/>
      <c r="Z57" s="802"/>
      <c r="AA57" s="754"/>
      <c r="AB57" s="1983"/>
      <c r="AC57" s="802"/>
      <c r="AD57" s="754"/>
      <c r="AE57" s="1983"/>
      <c r="AF57" s="802"/>
      <c r="AG57" s="754"/>
      <c r="AH57" s="1983">
        <v>4000</v>
      </c>
      <c r="AI57" s="802">
        <v>3400</v>
      </c>
      <c r="AJ57" s="754">
        <v>103918</v>
      </c>
      <c r="AK57" s="1983"/>
      <c r="AL57" s="802"/>
      <c r="AM57" s="754"/>
      <c r="AN57" s="1983"/>
      <c r="AO57" s="802"/>
      <c r="AP57" s="754"/>
      <c r="AQ57" s="1983"/>
      <c r="AR57" s="802"/>
      <c r="AS57" s="754"/>
      <c r="AT57" s="1983"/>
      <c r="AU57" s="802"/>
      <c r="AV57" s="754"/>
      <c r="AW57" s="1983"/>
      <c r="AX57" s="802"/>
      <c r="AY57" s="754"/>
      <c r="AZ57" s="1983"/>
      <c r="BA57" s="802"/>
      <c r="BB57" s="754"/>
      <c r="BC57" s="1983"/>
      <c r="BD57" s="802"/>
      <c r="BE57" s="754"/>
      <c r="BF57" s="1983"/>
      <c r="BG57" s="802"/>
      <c r="BH57" s="754"/>
      <c r="BI57" s="1983">
        <f t="shared" si="86"/>
        <v>4000</v>
      </c>
      <c r="BJ57" s="802">
        <f t="shared" si="87"/>
        <v>3400</v>
      </c>
      <c r="BK57" s="754">
        <f t="shared" si="88"/>
        <v>103918</v>
      </c>
      <c r="BL57" s="741"/>
      <c r="BM57" s="802"/>
      <c r="BN57" s="754"/>
      <c r="BO57" s="741"/>
      <c r="BP57" s="802"/>
      <c r="BQ57" s="754"/>
      <c r="BR57" s="741"/>
      <c r="BS57" s="802"/>
      <c r="BT57" s="754"/>
      <c r="BU57" s="741"/>
      <c r="BV57" s="802"/>
      <c r="BW57" s="754"/>
      <c r="BX57" s="741"/>
      <c r="BY57" s="802"/>
      <c r="BZ57" s="754"/>
      <c r="CA57" s="741"/>
      <c r="CB57" s="802"/>
      <c r="CC57" s="754"/>
      <c r="CD57" s="741"/>
      <c r="CE57" s="802"/>
      <c r="CF57" s="754"/>
      <c r="CG57" s="741"/>
      <c r="CH57" s="802"/>
      <c r="CI57" s="754"/>
      <c r="CJ57" s="741"/>
      <c r="CK57" s="802"/>
      <c r="CL57" s="754"/>
      <c r="CM57" s="741">
        <f t="shared" si="89"/>
        <v>0</v>
      </c>
      <c r="CN57" s="802">
        <f t="shared" si="89"/>
        <v>0</v>
      </c>
      <c r="CO57" s="754">
        <f t="shared" si="89"/>
        <v>0</v>
      </c>
      <c r="CP57" s="741">
        <f t="shared" si="61"/>
        <v>4000</v>
      </c>
      <c r="CQ57" s="802">
        <f t="shared" si="62"/>
        <v>3400</v>
      </c>
      <c r="CR57" s="754">
        <f t="shared" si="63"/>
        <v>103918</v>
      </c>
      <c r="CS57" s="741"/>
      <c r="CT57" s="802"/>
      <c r="CU57" s="754"/>
      <c r="CV57" s="741"/>
      <c r="CW57" s="802"/>
      <c r="CX57" s="754"/>
      <c r="CY57" s="741"/>
      <c r="CZ57" s="802"/>
      <c r="DA57" s="754"/>
      <c r="DB57" s="741"/>
      <c r="DC57" s="802"/>
      <c r="DD57" s="754"/>
      <c r="DE57" s="741">
        <f t="shared" si="82"/>
        <v>0</v>
      </c>
      <c r="DF57" s="802">
        <f t="shared" si="83"/>
        <v>0</v>
      </c>
      <c r="DG57" s="754">
        <f t="shared" si="84"/>
        <v>0</v>
      </c>
      <c r="DH57" s="741"/>
      <c r="DI57" s="802"/>
      <c r="DJ57" s="754"/>
      <c r="DK57" s="741"/>
      <c r="DL57" s="802"/>
      <c r="DM57" s="754"/>
      <c r="DN57" s="741">
        <f t="shared" si="90"/>
        <v>4000</v>
      </c>
      <c r="DO57" s="802">
        <f t="shared" si="91"/>
        <v>3400</v>
      </c>
      <c r="DP57" s="754">
        <f t="shared" si="92"/>
        <v>103918</v>
      </c>
      <c r="DQ57" s="825">
        <f t="shared" si="70"/>
        <v>3056.411764705882</v>
      </c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  <c r="HF57" s="154"/>
      <c r="HG57" s="154"/>
      <c r="HH57" s="154"/>
      <c r="HI57" s="154"/>
      <c r="HJ57" s="154"/>
    </row>
    <row r="58" spans="1:218" ht="12.75" customHeight="1">
      <c r="A58" s="724"/>
      <c r="B58" s="727" t="s">
        <v>1057</v>
      </c>
      <c r="C58" s="1974">
        <v>9321213</v>
      </c>
      <c r="D58" s="1983"/>
      <c r="E58" s="802"/>
      <c r="F58" s="754"/>
      <c r="G58" s="1983"/>
      <c r="H58" s="802"/>
      <c r="I58" s="754"/>
      <c r="J58" s="1983"/>
      <c r="K58" s="802"/>
      <c r="L58" s="754"/>
      <c r="M58" s="1983"/>
      <c r="N58" s="802"/>
      <c r="O58" s="754"/>
      <c r="P58" s="1983"/>
      <c r="Q58" s="802"/>
      <c r="R58" s="754"/>
      <c r="S58" s="1983"/>
      <c r="T58" s="802"/>
      <c r="U58" s="754"/>
      <c r="V58" s="1983"/>
      <c r="W58" s="802"/>
      <c r="X58" s="754"/>
      <c r="Y58" s="1983"/>
      <c r="Z58" s="802"/>
      <c r="AA58" s="754"/>
      <c r="AB58" s="1983"/>
      <c r="AC58" s="802"/>
      <c r="AD58" s="754"/>
      <c r="AE58" s="1983"/>
      <c r="AF58" s="802"/>
      <c r="AG58" s="754"/>
      <c r="AH58" s="1983"/>
      <c r="AI58" s="802"/>
      <c r="AJ58" s="754"/>
      <c r="AK58" s="1983"/>
      <c r="AL58" s="802"/>
      <c r="AM58" s="754"/>
      <c r="AN58" s="1983"/>
      <c r="AO58" s="802"/>
      <c r="AP58" s="754"/>
      <c r="AQ58" s="1983"/>
      <c r="AR58" s="802"/>
      <c r="AS58" s="754"/>
      <c r="AT58" s="1983"/>
      <c r="AU58" s="802"/>
      <c r="AV58" s="754"/>
      <c r="AW58" s="1983"/>
      <c r="AX58" s="802"/>
      <c r="AY58" s="754"/>
      <c r="AZ58" s="1983"/>
      <c r="BA58" s="802"/>
      <c r="BB58" s="754"/>
      <c r="BC58" s="1983"/>
      <c r="BD58" s="802"/>
      <c r="BE58" s="754"/>
      <c r="BF58" s="1983">
        <v>220000</v>
      </c>
      <c r="BG58" s="802">
        <v>82000</v>
      </c>
      <c r="BH58" s="754">
        <v>3294</v>
      </c>
      <c r="BI58" s="1983">
        <f t="shared" si="86"/>
        <v>220000</v>
      </c>
      <c r="BJ58" s="802">
        <f t="shared" si="87"/>
        <v>82000</v>
      </c>
      <c r="BK58" s="754">
        <f t="shared" si="88"/>
        <v>3294</v>
      </c>
      <c r="BL58" s="741"/>
      <c r="BM58" s="802"/>
      <c r="BN58" s="754"/>
      <c r="BO58" s="741"/>
      <c r="BP58" s="802"/>
      <c r="BQ58" s="754"/>
      <c r="BR58" s="741"/>
      <c r="BS58" s="802"/>
      <c r="BT58" s="754"/>
      <c r="BU58" s="741"/>
      <c r="BV58" s="802"/>
      <c r="BW58" s="754"/>
      <c r="BX58" s="741"/>
      <c r="BY58" s="802"/>
      <c r="BZ58" s="754"/>
      <c r="CA58" s="741"/>
      <c r="CB58" s="802"/>
      <c r="CC58" s="754"/>
      <c r="CD58" s="741"/>
      <c r="CE58" s="802"/>
      <c r="CF58" s="754"/>
      <c r="CG58" s="741"/>
      <c r="CH58" s="802"/>
      <c r="CI58" s="754"/>
      <c r="CJ58" s="741"/>
      <c r="CK58" s="802"/>
      <c r="CL58" s="754"/>
      <c r="CM58" s="741">
        <f t="shared" si="89"/>
        <v>0</v>
      </c>
      <c r="CN58" s="802">
        <f t="shared" si="89"/>
        <v>0</v>
      </c>
      <c r="CO58" s="754">
        <f t="shared" si="89"/>
        <v>0</v>
      </c>
      <c r="CP58" s="741">
        <f t="shared" si="61"/>
        <v>220000</v>
      </c>
      <c r="CQ58" s="802">
        <f t="shared" si="62"/>
        <v>82000</v>
      </c>
      <c r="CR58" s="754">
        <f t="shared" si="63"/>
        <v>3294</v>
      </c>
      <c r="CS58" s="741"/>
      <c r="CT58" s="802"/>
      <c r="CU58" s="754"/>
      <c r="CV58" s="741"/>
      <c r="CW58" s="802"/>
      <c r="CX58" s="754"/>
      <c r="CY58" s="741"/>
      <c r="CZ58" s="802"/>
      <c r="DA58" s="754"/>
      <c r="DB58" s="741"/>
      <c r="DC58" s="802"/>
      <c r="DD58" s="754"/>
      <c r="DE58" s="741">
        <f t="shared" si="82"/>
        <v>0</v>
      </c>
      <c r="DF58" s="802">
        <f t="shared" si="83"/>
        <v>0</v>
      </c>
      <c r="DG58" s="754">
        <f t="shared" si="84"/>
        <v>0</v>
      </c>
      <c r="DH58" s="741"/>
      <c r="DI58" s="802"/>
      <c r="DJ58" s="754"/>
      <c r="DK58" s="741"/>
      <c r="DL58" s="802"/>
      <c r="DM58" s="754"/>
      <c r="DN58" s="741">
        <f t="shared" si="90"/>
        <v>220000</v>
      </c>
      <c r="DO58" s="802">
        <f t="shared" si="91"/>
        <v>82000</v>
      </c>
      <c r="DP58" s="754">
        <f t="shared" si="92"/>
        <v>3294</v>
      </c>
      <c r="DQ58" s="825">
        <f t="shared" si="70"/>
        <v>4.017073170731708</v>
      </c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</row>
    <row r="59" spans="1:218" ht="12.75" customHeight="1">
      <c r="A59" s="724"/>
      <c r="B59" s="725" t="s">
        <v>86</v>
      </c>
      <c r="C59" s="1973"/>
      <c r="D59" s="1983"/>
      <c r="E59" s="802"/>
      <c r="F59" s="754"/>
      <c r="G59" s="1983"/>
      <c r="H59" s="802"/>
      <c r="I59" s="754"/>
      <c r="J59" s="1983"/>
      <c r="K59" s="802"/>
      <c r="L59" s="754"/>
      <c r="M59" s="1983"/>
      <c r="N59" s="802"/>
      <c r="O59" s="754"/>
      <c r="P59" s="1983"/>
      <c r="Q59" s="802"/>
      <c r="R59" s="754"/>
      <c r="S59" s="1983"/>
      <c r="T59" s="802"/>
      <c r="U59" s="754"/>
      <c r="V59" s="1983"/>
      <c r="W59" s="802"/>
      <c r="X59" s="754"/>
      <c r="Y59" s="1983"/>
      <c r="Z59" s="802"/>
      <c r="AA59" s="754"/>
      <c r="AB59" s="1983"/>
      <c r="AC59" s="802"/>
      <c r="AD59" s="754"/>
      <c r="AE59" s="1983"/>
      <c r="AF59" s="802"/>
      <c r="AG59" s="754"/>
      <c r="AH59" s="1983"/>
      <c r="AI59" s="802"/>
      <c r="AJ59" s="754"/>
      <c r="AK59" s="1983"/>
      <c r="AL59" s="802"/>
      <c r="AM59" s="754"/>
      <c r="AN59" s="1983"/>
      <c r="AO59" s="802"/>
      <c r="AP59" s="754"/>
      <c r="AQ59" s="1983"/>
      <c r="AR59" s="802"/>
      <c r="AS59" s="754"/>
      <c r="AT59" s="1983"/>
      <c r="AU59" s="802"/>
      <c r="AV59" s="754"/>
      <c r="AW59" s="1983"/>
      <c r="AX59" s="802"/>
      <c r="AY59" s="754"/>
      <c r="AZ59" s="1983"/>
      <c r="BA59" s="802"/>
      <c r="BB59" s="754"/>
      <c r="BC59" s="1983"/>
      <c r="BD59" s="802"/>
      <c r="BE59" s="754"/>
      <c r="BF59" s="1983"/>
      <c r="BG59" s="802"/>
      <c r="BH59" s="754"/>
      <c r="BI59" s="1983">
        <f t="shared" si="86"/>
        <v>0</v>
      </c>
      <c r="BJ59" s="802">
        <f t="shared" si="87"/>
        <v>0</v>
      </c>
      <c r="BK59" s="754">
        <f t="shared" si="88"/>
        <v>0</v>
      </c>
      <c r="BL59" s="741"/>
      <c r="BM59" s="802"/>
      <c r="BN59" s="754"/>
      <c r="BO59" s="741"/>
      <c r="BP59" s="802"/>
      <c r="BQ59" s="754"/>
      <c r="BR59" s="741"/>
      <c r="BS59" s="802"/>
      <c r="BT59" s="754"/>
      <c r="BU59" s="741"/>
      <c r="BV59" s="802"/>
      <c r="BW59" s="754"/>
      <c r="BX59" s="741"/>
      <c r="BY59" s="802"/>
      <c r="BZ59" s="754"/>
      <c r="CA59" s="741"/>
      <c r="CB59" s="802"/>
      <c r="CC59" s="754"/>
      <c r="CD59" s="741"/>
      <c r="CE59" s="802"/>
      <c r="CF59" s="754"/>
      <c r="CG59" s="741"/>
      <c r="CH59" s="802"/>
      <c r="CI59" s="754"/>
      <c r="CJ59" s="741"/>
      <c r="CK59" s="802"/>
      <c r="CL59" s="754"/>
      <c r="CM59" s="741">
        <f t="shared" si="89"/>
        <v>0</v>
      </c>
      <c r="CN59" s="802">
        <f t="shared" si="89"/>
        <v>0</v>
      </c>
      <c r="CO59" s="754">
        <f t="shared" si="89"/>
        <v>0</v>
      </c>
      <c r="CP59" s="741">
        <f t="shared" si="61"/>
        <v>0</v>
      </c>
      <c r="CQ59" s="802">
        <f t="shared" si="62"/>
        <v>0</v>
      </c>
      <c r="CR59" s="754">
        <f t="shared" si="63"/>
        <v>0</v>
      </c>
      <c r="CS59" s="741"/>
      <c r="CT59" s="802"/>
      <c r="CU59" s="754"/>
      <c r="CV59" s="741"/>
      <c r="CW59" s="802"/>
      <c r="CX59" s="754"/>
      <c r="CY59" s="741"/>
      <c r="CZ59" s="802"/>
      <c r="DA59" s="754"/>
      <c r="DB59" s="741"/>
      <c r="DC59" s="802"/>
      <c r="DD59" s="754"/>
      <c r="DE59" s="741">
        <f t="shared" si="82"/>
        <v>0</v>
      </c>
      <c r="DF59" s="802">
        <f t="shared" si="83"/>
        <v>0</v>
      </c>
      <c r="DG59" s="754">
        <f t="shared" si="84"/>
        <v>0</v>
      </c>
      <c r="DH59" s="741"/>
      <c r="DI59" s="802"/>
      <c r="DJ59" s="754"/>
      <c r="DK59" s="741"/>
      <c r="DL59" s="802"/>
      <c r="DM59" s="754"/>
      <c r="DN59" s="741">
        <f t="shared" si="90"/>
        <v>0</v>
      </c>
      <c r="DO59" s="802">
        <f t="shared" si="91"/>
        <v>0</v>
      </c>
      <c r="DP59" s="754">
        <f t="shared" si="92"/>
        <v>0</v>
      </c>
      <c r="DQ59" s="825">
        <v>0</v>
      </c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</row>
    <row r="60" spans="1:218" ht="12.75" customHeight="1">
      <c r="A60" s="724"/>
      <c r="B60" s="725" t="s">
        <v>96</v>
      </c>
      <c r="C60" s="1973"/>
      <c r="D60" s="1983"/>
      <c r="E60" s="802"/>
      <c r="F60" s="754"/>
      <c r="G60" s="1983"/>
      <c r="H60" s="802"/>
      <c r="I60" s="754"/>
      <c r="J60" s="1983"/>
      <c r="K60" s="802"/>
      <c r="L60" s="754"/>
      <c r="M60" s="1983"/>
      <c r="N60" s="802"/>
      <c r="O60" s="754"/>
      <c r="P60" s="1983"/>
      <c r="Q60" s="802"/>
      <c r="R60" s="754"/>
      <c r="S60" s="1983"/>
      <c r="T60" s="802"/>
      <c r="U60" s="754"/>
      <c r="V60" s="1983"/>
      <c r="W60" s="802"/>
      <c r="X60" s="754"/>
      <c r="Y60" s="1983"/>
      <c r="Z60" s="802"/>
      <c r="AA60" s="754"/>
      <c r="AB60" s="1983"/>
      <c r="AC60" s="802"/>
      <c r="AD60" s="754"/>
      <c r="AE60" s="1983"/>
      <c r="AF60" s="802"/>
      <c r="AG60" s="754"/>
      <c r="AH60" s="1983"/>
      <c r="AI60" s="802"/>
      <c r="AJ60" s="754"/>
      <c r="AK60" s="1983"/>
      <c r="AL60" s="802"/>
      <c r="AM60" s="754"/>
      <c r="AN60" s="1983"/>
      <c r="AO60" s="802"/>
      <c r="AP60" s="754"/>
      <c r="AQ60" s="1983"/>
      <c r="AR60" s="802"/>
      <c r="AS60" s="754"/>
      <c r="AT60" s="1983"/>
      <c r="AU60" s="802"/>
      <c r="AV60" s="754"/>
      <c r="AW60" s="1983"/>
      <c r="AX60" s="802"/>
      <c r="AY60" s="754"/>
      <c r="AZ60" s="1983"/>
      <c r="BA60" s="802"/>
      <c r="BB60" s="754"/>
      <c r="BC60" s="1983"/>
      <c r="BD60" s="802"/>
      <c r="BE60" s="754"/>
      <c r="BF60" s="1983"/>
      <c r="BG60" s="802"/>
      <c r="BH60" s="754"/>
      <c r="BI60" s="1983">
        <f t="shared" si="86"/>
        <v>0</v>
      </c>
      <c r="BJ60" s="802">
        <f t="shared" si="87"/>
        <v>0</v>
      </c>
      <c r="BK60" s="754">
        <f t="shared" si="88"/>
        <v>0</v>
      </c>
      <c r="BL60" s="741"/>
      <c r="BM60" s="802"/>
      <c r="BN60" s="754"/>
      <c r="BO60" s="741"/>
      <c r="BP60" s="802"/>
      <c r="BQ60" s="754"/>
      <c r="BR60" s="741"/>
      <c r="BS60" s="802"/>
      <c r="BT60" s="754"/>
      <c r="BU60" s="741"/>
      <c r="BV60" s="802"/>
      <c r="BW60" s="754"/>
      <c r="BX60" s="741"/>
      <c r="BY60" s="802"/>
      <c r="BZ60" s="754"/>
      <c r="CA60" s="741"/>
      <c r="CB60" s="802"/>
      <c r="CC60" s="754"/>
      <c r="CD60" s="741"/>
      <c r="CE60" s="802"/>
      <c r="CF60" s="754"/>
      <c r="CG60" s="741"/>
      <c r="CH60" s="802"/>
      <c r="CI60" s="754"/>
      <c r="CJ60" s="741"/>
      <c r="CK60" s="802"/>
      <c r="CL60" s="754"/>
      <c r="CM60" s="741">
        <f t="shared" si="89"/>
        <v>0</v>
      </c>
      <c r="CN60" s="802">
        <f t="shared" si="89"/>
        <v>0</v>
      </c>
      <c r="CO60" s="754">
        <f t="shared" si="89"/>
        <v>0</v>
      </c>
      <c r="CP60" s="741">
        <f t="shared" si="61"/>
        <v>0</v>
      </c>
      <c r="CQ60" s="802">
        <f t="shared" si="62"/>
        <v>0</v>
      </c>
      <c r="CR60" s="754">
        <f t="shared" si="63"/>
        <v>0</v>
      </c>
      <c r="CS60" s="741"/>
      <c r="CT60" s="802"/>
      <c r="CU60" s="754"/>
      <c r="CV60" s="741"/>
      <c r="CW60" s="802"/>
      <c r="CX60" s="754"/>
      <c r="CY60" s="741"/>
      <c r="CZ60" s="802"/>
      <c r="DA60" s="754"/>
      <c r="DB60" s="741"/>
      <c r="DC60" s="802"/>
      <c r="DD60" s="754"/>
      <c r="DE60" s="741">
        <f t="shared" si="82"/>
        <v>0</v>
      </c>
      <c r="DF60" s="802">
        <f t="shared" si="83"/>
        <v>0</v>
      </c>
      <c r="DG60" s="754">
        <f t="shared" si="84"/>
        <v>0</v>
      </c>
      <c r="DH60" s="741"/>
      <c r="DI60" s="802"/>
      <c r="DJ60" s="754"/>
      <c r="DK60" s="741"/>
      <c r="DL60" s="802"/>
      <c r="DM60" s="754"/>
      <c r="DN60" s="741">
        <f t="shared" si="90"/>
        <v>0</v>
      </c>
      <c r="DO60" s="802">
        <f t="shared" si="91"/>
        <v>0</v>
      </c>
      <c r="DP60" s="754">
        <f t="shared" si="92"/>
        <v>0</v>
      </c>
      <c r="DQ60" s="823">
        <v>0</v>
      </c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</row>
    <row r="61" spans="1:218" ht="12.75" customHeight="1">
      <c r="A61" s="724"/>
      <c r="B61" s="772" t="s">
        <v>1106</v>
      </c>
      <c r="C61" s="568"/>
      <c r="D61" s="1983"/>
      <c r="E61" s="802"/>
      <c r="F61" s="754"/>
      <c r="G61" s="1983"/>
      <c r="H61" s="802"/>
      <c r="I61" s="754"/>
      <c r="J61" s="1983"/>
      <c r="K61" s="802"/>
      <c r="L61" s="754"/>
      <c r="M61" s="1983"/>
      <c r="N61" s="802"/>
      <c r="O61" s="754"/>
      <c r="P61" s="1983"/>
      <c r="Q61" s="802"/>
      <c r="R61" s="754"/>
      <c r="S61" s="1983"/>
      <c r="T61" s="802"/>
      <c r="U61" s="754"/>
      <c r="V61" s="1983"/>
      <c r="W61" s="802"/>
      <c r="X61" s="754"/>
      <c r="Y61" s="1983"/>
      <c r="Z61" s="802"/>
      <c r="AA61" s="754"/>
      <c r="AB61" s="1983"/>
      <c r="AC61" s="802"/>
      <c r="AD61" s="754"/>
      <c r="AE61" s="1983"/>
      <c r="AF61" s="802"/>
      <c r="AG61" s="754"/>
      <c r="AH61" s="1983"/>
      <c r="AI61" s="802"/>
      <c r="AJ61" s="754"/>
      <c r="AK61" s="1983"/>
      <c r="AL61" s="802"/>
      <c r="AM61" s="754"/>
      <c r="AN61" s="1983"/>
      <c r="AO61" s="802"/>
      <c r="AP61" s="754"/>
      <c r="AQ61" s="1983"/>
      <c r="AR61" s="802"/>
      <c r="AS61" s="754"/>
      <c r="AT61" s="1983"/>
      <c r="AU61" s="802"/>
      <c r="AV61" s="754"/>
      <c r="AW61" s="1983"/>
      <c r="AX61" s="802"/>
      <c r="AY61" s="754"/>
      <c r="AZ61" s="1983"/>
      <c r="BA61" s="802"/>
      <c r="BB61" s="754"/>
      <c r="BC61" s="1983"/>
      <c r="BD61" s="802"/>
      <c r="BE61" s="754"/>
      <c r="BF61" s="1983"/>
      <c r="BG61" s="802"/>
      <c r="BH61" s="754"/>
      <c r="BI61" s="1983">
        <f t="shared" si="86"/>
        <v>0</v>
      </c>
      <c r="BJ61" s="802">
        <f t="shared" si="87"/>
        <v>0</v>
      </c>
      <c r="BK61" s="754">
        <f t="shared" si="88"/>
        <v>0</v>
      </c>
      <c r="BL61" s="741"/>
      <c r="BM61" s="802"/>
      <c r="BN61" s="754"/>
      <c r="BO61" s="741"/>
      <c r="BP61" s="802"/>
      <c r="BQ61" s="754"/>
      <c r="BR61" s="741"/>
      <c r="BS61" s="802"/>
      <c r="BT61" s="754"/>
      <c r="BU61" s="741"/>
      <c r="BV61" s="802"/>
      <c r="BW61" s="754"/>
      <c r="BX61" s="741"/>
      <c r="BY61" s="802"/>
      <c r="BZ61" s="754"/>
      <c r="CA61" s="741"/>
      <c r="CB61" s="802"/>
      <c r="CC61" s="754"/>
      <c r="CD61" s="741"/>
      <c r="CE61" s="802"/>
      <c r="CF61" s="754"/>
      <c r="CG61" s="741"/>
      <c r="CH61" s="802"/>
      <c r="CI61" s="754"/>
      <c r="CJ61" s="741"/>
      <c r="CK61" s="802"/>
      <c r="CL61" s="754"/>
      <c r="CM61" s="741">
        <f t="shared" si="89"/>
        <v>0</v>
      </c>
      <c r="CN61" s="802">
        <f t="shared" si="89"/>
        <v>0</v>
      </c>
      <c r="CO61" s="754">
        <f t="shared" si="89"/>
        <v>0</v>
      </c>
      <c r="CP61" s="741">
        <f t="shared" si="61"/>
        <v>0</v>
      </c>
      <c r="CQ61" s="802">
        <f t="shared" si="62"/>
        <v>0</v>
      </c>
      <c r="CR61" s="754">
        <f t="shared" si="63"/>
        <v>0</v>
      </c>
      <c r="CS61" s="741"/>
      <c r="CT61" s="802"/>
      <c r="CU61" s="754"/>
      <c r="CV61" s="741"/>
      <c r="CW61" s="802"/>
      <c r="CX61" s="754"/>
      <c r="CY61" s="741"/>
      <c r="CZ61" s="802"/>
      <c r="DA61" s="754"/>
      <c r="DB61" s="741"/>
      <c r="DC61" s="802"/>
      <c r="DD61" s="754"/>
      <c r="DE61" s="741">
        <f t="shared" si="82"/>
        <v>0</v>
      </c>
      <c r="DF61" s="802">
        <f t="shared" si="83"/>
        <v>0</v>
      </c>
      <c r="DG61" s="754">
        <f t="shared" si="84"/>
        <v>0</v>
      </c>
      <c r="DH61" s="741"/>
      <c r="DI61" s="802"/>
      <c r="DJ61" s="754"/>
      <c r="DK61" s="741"/>
      <c r="DL61" s="802"/>
      <c r="DM61" s="754"/>
      <c r="DN61" s="741">
        <f t="shared" si="90"/>
        <v>0</v>
      </c>
      <c r="DO61" s="802">
        <f t="shared" si="91"/>
        <v>0</v>
      </c>
      <c r="DP61" s="754">
        <f t="shared" si="92"/>
        <v>0</v>
      </c>
      <c r="DQ61" s="823">
        <v>0</v>
      </c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</row>
    <row r="62" spans="1:232" s="147" customFormat="1" ht="12.75" customHeight="1">
      <c r="A62" s="724"/>
      <c r="B62" s="715" t="s">
        <v>176</v>
      </c>
      <c r="C62" s="1962">
        <v>931</v>
      </c>
      <c r="D62" s="744"/>
      <c r="E62" s="802"/>
      <c r="F62" s="754"/>
      <c r="G62" s="744"/>
      <c r="H62" s="802"/>
      <c r="I62" s="754"/>
      <c r="J62" s="744"/>
      <c r="K62" s="802"/>
      <c r="L62" s="754"/>
      <c r="M62" s="744"/>
      <c r="N62" s="802"/>
      <c r="O62" s="754"/>
      <c r="P62" s="744"/>
      <c r="Q62" s="802"/>
      <c r="R62" s="754"/>
      <c r="S62" s="744"/>
      <c r="T62" s="802"/>
      <c r="U62" s="754"/>
      <c r="V62" s="744"/>
      <c r="W62" s="802"/>
      <c r="X62" s="754"/>
      <c r="Y62" s="744"/>
      <c r="Z62" s="802"/>
      <c r="AA62" s="754"/>
      <c r="AB62" s="744"/>
      <c r="AC62" s="802"/>
      <c r="AD62" s="754"/>
      <c r="AE62" s="744"/>
      <c r="AF62" s="802"/>
      <c r="AG62" s="754"/>
      <c r="AH62" s="744"/>
      <c r="AI62" s="802"/>
      <c r="AJ62" s="754"/>
      <c r="AK62" s="744"/>
      <c r="AL62" s="802"/>
      <c r="AM62" s="754"/>
      <c r="AN62" s="744"/>
      <c r="AO62" s="802"/>
      <c r="AP62" s="754"/>
      <c r="AQ62" s="744"/>
      <c r="AR62" s="802"/>
      <c r="AS62" s="754"/>
      <c r="AT62" s="744"/>
      <c r="AU62" s="802"/>
      <c r="AV62" s="754"/>
      <c r="AW62" s="744"/>
      <c r="AX62" s="802"/>
      <c r="AY62" s="754"/>
      <c r="AZ62" s="744"/>
      <c r="BA62" s="802"/>
      <c r="BB62" s="754"/>
      <c r="BC62" s="744"/>
      <c r="BD62" s="802"/>
      <c r="BE62" s="754"/>
      <c r="BF62" s="744"/>
      <c r="BG62" s="802"/>
      <c r="BH62" s="754"/>
      <c r="BI62" s="744">
        <f t="shared" si="86"/>
        <v>0</v>
      </c>
      <c r="BJ62" s="802">
        <f t="shared" si="87"/>
        <v>0</v>
      </c>
      <c r="BK62" s="754">
        <f t="shared" si="88"/>
        <v>0</v>
      </c>
      <c r="BL62" s="740"/>
      <c r="BM62" s="801"/>
      <c r="BN62" s="753"/>
      <c r="BO62" s="740"/>
      <c r="BP62" s="801"/>
      <c r="BQ62" s="753"/>
      <c r="BR62" s="740"/>
      <c r="BS62" s="801"/>
      <c r="BT62" s="753"/>
      <c r="BU62" s="740"/>
      <c r="BV62" s="801"/>
      <c r="BW62" s="753"/>
      <c r="BX62" s="740"/>
      <c r="BY62" s="801"/>
      <c r="BZ62" s="753"/>
      <c r="CA62" s="740"/>
      <c r="CB62" s="801"/>
      <c r="CC62" s="753"/>
      <c r="CD62" s="740"/>
      <c r="CE62" s="801"/>
      <c r="CF62" s="753"/>
      <c r="CG62" s="740"/>
      <c r="CH62" s="801"/>
      <c r="CI62" s="753"/>
      <c r="CJ62" s="740"/>
      <c r="CK62" s="801"/>
      <c r="CL62" s="753"/>
      <c r="CM62" s="740">
        <f t="shared" si="89"/>
        <v>0</v>
      </c>
      <c r="CN62" s="801">
        <f t="shared" si="89"/>
        <v>0</v>
      </c>
      <c r="CO62" s="753">
        <f t="shared" si="89"/>
        <v>0</v>
      </c>
      <c r="CP62" s="740">
        <f t="shared" si="61"/>
        <v>0</v>
      </c>
      <c r="CQ62" s="801">
        <f t="shared" si="62"/>
        <v>0</v>
      </c>
      <c r="CR62" s="753">
        <f t="shared" si="63"/>
        <v>0</v>
      </c>
      <c r="CS62" s="740"/>
      <c r="CT62" s="801"/>
      <c r="CU62" s="753"/>
      <c r="CV62" s="740"/>
      <c r="CW62" s="801"/>
      <c r="CX62" s="753"/>
      <c r="CY62" s="740"/>
      <c r="CZ62" s="801"/>
      <c r="DA62" s="753"/>
      <c r="DB62" s="740"/>
      <c r="DC62" s="801">
        <v>450</v>
      </c>
      <c r="DD62" s="753">
        <v>450</v>
      </c>
      <c r="DE62" s="740">
        <f t="shared" si="82"/>
        <v>0</v>
      </c>
      <c r="DF62" s="801">
        <f t="shared" si="83"/>
        <v>450</v>
      </c>
      <c r="DG62" s="753">
        <f t="shared" si="84"/>
        <v>450</v>
      </c>
      <c r="DH62" s="740"/>
      <c r="DI62" s="801"/>
      <c r="DJ62" s="753"/>
      <c r="DK62" s="740"/>
      <c r="DL62" s="801"/>
      <c r="DM62" s="753"/>
      <c r="DN62" s="740">
        <f t="shared" si="90"/>
        <v>0</v>
      </c>
      <c r="DO62" s="801">
        <f t="shared" si="91"/>
        <v>450</v>
      </c>
      <c r="DP62" s="753">
        <f t="shared" si="92"/>
        <v>450</v>
      </c>
      <c r="DQ62" s="826">
        <f aca="true" t="shared" si="93" ref="DQ62:DQ70">DP62/DO62*100</f>
        <v>100</v>
      </c>
      <c r="DR62" s="642"/>
      <c r="DS62" s="642"/>
      <c r="DT62" s="642"/>
      <c r="DU62" s="642"/>
      <c r="DV62" s="642"/>
      <c r="DW62" s="642"/>
      <c r="DX62" s="642"/>
      <c r="DY62" s="642"/>
      <c r="DZ62" s="642"/>
      <c r="EA62" s="642"/>
      <c r="EB62" s="642"/>
      <c r="EC62" s="642"/>
      <c r="ED62" s="642"/>
      <c r="EE62" s="642"/>
      <c r="EF62" s="642"/>
      <c r="EG62" s="642"/>
      <c r="EH62" s="642"/>
      <c r="EI62" s="642"/>
      <c r="EJ62" s="642"/>
      <c r="EK62" s="642"/>
      <c r="EL62" s="642"/>
      <c r="EM62" s="642"/>
      <c r="EN62" s="642"/>
      <c r="EO62" s="642"/>
      <c r="EP62" s="642"/>
      <c r="EQ62" s="642"/>
      <c r="ER62" s="642"/>
      <c r="ES62" s="642"/>
      <c r="ET62" s="642"/>
      <c r="EU62" s="642"/>
      <c r="EV62" s="642"/>
      <c r="EW62" s="642"/>
      <c r="EX62" s="642"/>
      <c r="EY62" s="642"/>
      <c r="EZ62" s="642"/>
      <c r="FA62" s="642"/>
      <c r="FB62" s="642"/>
      <c r="FC62" s="642"/>
      <c r="FD62" s="642"/>
      <c r="FE62" s="642"/>
      <c r="FF62" s="642"/>
      <c r="FG62" s="642"/>
      <c r="FH62" s="642"/>
      <c r="FI62" s="642"/>
      <c r="FJ62" s="642"/>
      <c r="FK62" s="642"/>
      <c r="FL62" s="642"/>
      <c r="FM62" s="642"/>
      <c r="FN62" s="642"/>
      <c r="FO62" s="642"/>
      <c r="FP62" s="642"/>
      <c r="FQ62" s="642"/>
      <c r="FR62" s="642"/>
      <c r="FS62" s="642"/>
      <c r="FT62" s="642"/>
      <c r="FU62" s="642"/>
      <c r="FV62" s="642"/>
      <c r="FW62" s="642"/>
      <c r="FX62" s="642"/>
      <c r="FY62" s="642"/>
      <c r="FZ62" s="642"/>
      <c r="GA62" s="642"/>
      <c r="GB62" s="642"/>
      <c r="GC62" s="642"/>
      <c r="GD62" s="642"/>
      <c r="GE62" s="642"/>
      <c r="GF62" s="642"/>
      <c r="GG62" s="642"/>
      <c r="GH62" s="642"/>
      <c r="GI62" s="642"/>
      <c r="GJ62" s="642"/>
      <c r="GK62" s="642"/>
      <c r="GL62" s="642"/>
      <c r="GM62" s="642"/>
      <c r="GN62" s="642"/>
      <c r="GO62" s="642"/>
      <c r="GP62" s="642"/>
      <c r="GQ62" s="642"/>
      <c r="GR62" s="642"/>
      <c r="GS62" s="642"/>
      <c r="GT62" s="642"/>
      <c r="GU62" s="642"/>
      <c r="GV62" s="642"/>
      <c r="GW62" s="642"/>
      <c r="GX62" s="642"/>
      <c r="GY62" s="642"/>
      <c r="GZ62" s="642"/>
      <c r="HA62" s="642"/>
      <c r="HB62" s="642"/>
      <c r="HC62" s="642"/>
      <c r="HD62" s="642"/>
      <c r="HE62" s="642"/>
      <c r="HF62" s="642"/>
      <c r="HG62" s="642"/>
      <c r="HH62" s="642"/>
      <c r="HI62" s="642"/>
      <c r="HJ62" s="642"/>
      <c r="HK62" s="642"/>
      <c r="HL62" s="642"/>
      <c r="HM62" s="642"/>
      <c r="HN62" s="642"/>
      <c r="HO62" s="642"/>
      <c r="HP62" s="642"/>
      <c r="HQ62" s="642"/>
      <c r="HR62" s="642"/>
      <c r="HS62" s="642"/>
      <c r="HT62" s="642"/>
      <c r="HU62" s="642"/>
      <c r="HV62" s="642"/>
      <c r="HW62" s="642"/>
      <c r="HX62" s="642"/>
    </row>
    <row r="63" spans="1:218" ht="12.75" customHeight="1">
      <c r="A63" s="723" t="s">
        <v>155</v>
      </c>
      <c r="B63" s="712" t="s">
        <v>97</v>
      </c>
      <c r="C63" s="1960"/>
      <c r="D63" s="742">
        <f>D64+D67+D68+D69</f>
        <v>0</v>
      </c>
      <c r="E63" s="803">
        <f>E64+E67+E68+E69</f>
        <v>0</v>
      </c>
      <c r="F63" s="755">
        <f aca="true" t="shared" si="94" ref="F63:BN63">F64+F67+F68+F69</f>
        <v>0</v>
      </c>
      <c r="G63" s="742">
        <f t="shared" si="94"/>
        <v>0</v>
      </c>
      <c r="H63" s="803">
        <f t="shared" si="94"/>
        <v>0</v>
      </c>
      <c r="I63" s="755">
        <f t="shared" si="94"/>
        <v>0</v>
      </c>
      <c r="J63" s="742">
        <f t="shared" si="94"/>
        <v>0</v>
      </c>
      <c r="K63" s="803">
        <f t="shared" si="94"/>
        <v>0</v>
      </c>
      <c r="L63" s="755">
        <f t="shared" si="94"/>
        <v>0</v>
      </c>
      <c r="M63" s="742">
        <f t="shared" si="94"/>
        <v>0</v>
      </c>
      <c r="N63" s="803">
        <f t="shared" si="94"/>
        <v>0</v>
      </c>
      <c r="O63" s="755">
        <f t="shared" si="94"/>
        <v>0</v>
      </c>
      <c r="P63" s="742">
        <f t="shared" si="94"/>
        <v>0</v>
      </c>
      <c r="Q63" s="803">
        <f t="shared" si="94"/>
        <v>0</v>
      </c>
      <c r="R63" s="755">
        <f t="shared" si="94"/>
        <v>0</v>
      </c>
      <c r="S63" s="742">
        <f t="shared" si="94"/>
        <v>0</v>
      </c>
      <c r="T63" s="803">
        <f t="shared" si="94"/>
        <v>0</v>
      </c>
      <c r="U63" s="755">
        <f t="shared" si="94"/>
        <v>0</v>
      </c>
      <c r="V63" s="742">
        <f t="shared" si="94"/>
        <v>0</v>
      </c>
      <c r="W63" s="803">
        <f t="shared" si="94"/>
        <v>0</v>
      </c>
      <c r="X63" s="755">
        <f t="shared" si="94"/>
        <v>0</v>
      </c>
      <c r="Y63" s="742">
        <f t="shared" si="94"/>
        <v>0</v>
      </c>
      <c r="Z63" s="803">
        <f t="shared" si="94"/>
        <v>0</v>
      </c>
      <c r="AA63" s="755">
        <f t="shared" si="94"/>
        <v>0</v>
      </c>
      <c r="AB63" s="742">
        <f t="shared" si="94"/>
        <v>0</v>
      </c>
      <c r="AC63" s="803">
        <f t="shared" si="94"/>
        <v>0</v>
      </c>
      <c r="AD63" s="755">
        <f t="shared" si="94"/>
        <v>0</v>
      </c>
      <c r="AE63" s="742">
        <f t="shared" si="94"/>
        <v>0</v>
      </c>
      <c r="AF63" s="803">
        <f t="shared" si="94"/>
        <v>0</v>
      </c>
      <c r="AG63" s="755">
        <f t="shared" si="94"/>
        <v>0</v>
      </c>
      <c r="AH63" s="742">
        <f t="shared" si="94"/>
        <v>245000</v>
      </c>
      <c r="AI63" s="803">
        <f t="shared" si="94"/>
        <v>250000</v>
      </c>
      <c r="AJ63" s="755">
        <f t="shared" si="94"/>
        <v>260046</v>
      </c>
      <c r="AK63" s="742">
        <f t="shared" si="94"/>
        <v>0</v>
      </c>
      <c r="AL63" s="803">
        <f t="shared" si="94"/>
        <v>0</v>
      </c>
      <c r="AM63" s="755">
        <f t="shared" si="94"/>
        <v>0</v>
      </c>
      <c r="AN63" s="742">
        <f t="shared" si="94"/>
        <v>0</v>
      </c>
      <c r="AO63" s="803">
        <f t="shared" si="94"/>
        <v>0</v>
      </c>
      <c r="AP63" s="755">
        <f t="shared" si="94"/>
        <v>0</v>
      </c>
      <c r="AQ63" s="742">
        <f t="shared" si="94"/>
        <v>0</v>
      </c>
      <c r="AR63" s="803">
        <f t="shared" si="94"/>
        <v>0</v>
      </c>
      <c r="AS63" s="755">
        <f t="shared" si="94"/>
        <v>0</v>
      </c>
      <c r="AT63" s="742">
        <f t="shared" si="94"/>
        <v>0</v>
      </c>
      <c r="AU63" s="803">
        <f t="shared" si="94"/>
        <v>0</v>
      </c>
      <c r="AV63" s="755">
        <f t="shared" si="94"/>
        <v>0</v>
      </c>
      <c r="AW63" s="742">
        <f t="shared" si="94"/>
        <v>0</v>
      </c>
      <c r="AX63" s="803">
        <f t="shared" si="94"/>
        <v>0</v>
      </c>
      <c r="AY63" s="755">
        <f t="shared" si="94"/>
        <v>0</v>
      </c>
      <c r="AZ63" s="742">
        <f t="shared" si="94"/>
        <v>0</v>
      </c>
      <c r="BA63" s="803">
        <f t="shared" si="94"/>
        <v>0</v>
      </c>
      <c r="BB63" s="755">
        <f t="shared" si="94"/>
        <v>0</v>
      </c>
      <c r="BC63" s="742">
        <f t="shared" si="94"/>
        <v>0</v>
      </c>
      <c r="BD63" s="803">
        <f t="shared" si="94"/>
        <v>0</v>
      </c>
      <c r="BE63" s="755">
        <f t="shared" si="94"/>
        <v>0</v>
      </c>
      <c r="BF63" s="742">
        <f t="shared" si="94"/>
        <v>250000</v>
      </c>
      <c r="BG63" s="803">
        <f t="shared" si="94"/>
        <v>60000</v>
      </c>
      <c r="BH63" s="755">
        <f t="shared" si="94"/>
        <v>80125.351</v>
      </c>
      <c r="BI63" s="742">
        <f t="shared" si="94"/>
        <v>495000</v>
      </c>
      <c r="BJ63" s="803">
        <f t="shared" si="94"/>
        <v>310000</v>
      </c>
      <c r="BK63" s="755">
        <f t="shared" si="94"/>
        <v>340171.351</v>
      </c>
      <c r="BL63" s="742">
        <f t="shared" si="94"/>
        <v>0</v>
      </c>
      <c r="BM63" s="803">
        <f t="shared" si="94"/>
        <v>0</v>
      </c>
      <c r="BN63" s="755">
        <f t="shared" si="94"/>
        <v>0</v>
      </c>
      <c r="BO63" s="742">
        <f aca="true" t="shared" si="95" ref="BO63:CO63">BO64+BO67+BO68+BO69</f>
        <v>0</v>
      </c>
      <c r="BP63" s="803">
        <f t="shared" si="95"/>
        <v>0</v>
      </c>
      <c r="BQ63" s="755">
        <f t="shared" si="95"/>
        <v>0</v>
      </c>
      <c r="BR63" s="742">
        <f t="shared" si="95"/>
        <v>0</v>
      </c>
      <c r="BS63" s="803">
        <f t="shared" si="95"/>
        <v>0</v>
      </c>
      <c r="BT63" s="755">
        <f t="shared" si="95"/>
        <v>0</v>
      </c>
      <c r="BU63" s="742">
        <f t="shared" si="95"/>
        <v>0</v>
      </c>
      <c r="BV63" s="803">
        <f t="shared" si="95"/>
        <v>0</v>
      </c>
      <c r="BW63" s="755">
        <f t="shared" si="95"/>
        <v>0</v>
      </c>
      <c r="BX63" s="742">
        <f t="shared" si="95"/>
        <v>0</v>
      </c>
      <c r="BY63" s="803">
        <f t="shared" si="95"/>
        <v>0</v>
      </c>
      <c r="BZ63" s="755">
        <f t="shared" si="95"/>
        <v>0</v>
      </c>
      <c r="CA63" s="742">
        <f t="shared" si="95"/>
        <v>0</v>
      </c>
      <c r="CB63" s="803">
        <f t="shared" si="95"/>
        <v>0</v>
      </c>
      <c r="CC63" s="755">
        <f t="shared" si="95"/>
        <v>0</v>
      </c>
      <c r="CD63" s="742">
        <f t="shared" si="95"/>
        <v>0</v>
      </c>
      <c r="CE63" s="803">
        <f t="shared" si="95"/>
        <v>0</v>
      </c>
      <c r="CF63" s="755">
        <f t="shared" si="95"/>
        <v>0</v>
      </c>
      <c r="CG63" s="742">
        <f t="shared" si="95"/>
        <v>0</v>
      </c>
      <c r="CH63" s="803">
        <f t="shared" si="95"/>
        <v>0</v>
      </c>
      <c r="CI63" s="755">
        <f t="shared" si="95"/>
        <v>0</v>
      </c>
      <c r="CJ63" s="742">
        <f t="shared" si="95"/>
        <v>0</v>
      </c>
      <c r="CK63" s="803">
        <f t="shared" si="95"/>
        <v>0</v>
      </c>
      <c r="CL63" s="755">
        <f t="shared" si="95"/>
        <v>0</v>
      </c>
      <c r="CM63" s="742">
        <f t="shared" si="95"/>
        <v>0</v>
      </c>
      <c r="CN63" s="803">
        <f t="shared" si="95"/>
        <v>0</v>
      </c>
      <c r="CO63" s="755">
        <f t="shared" si="95"/>
        <v>0</v>
      </c>
      <c r="CP63" s="742">
        <f t="shared" si="61"/>
        <v>495000</v>
      </c>
      <c r="CQ63" s="803">
        <f t="shared" si="62"/>
        <v>310000</v>
      </c>
      <c r="CR63" s="755">
        <f t="shared" si="63"/>
        <v>340171.351</v>
      </c>
      <c r="CS63" s="742">
        <f aca="true" t="shared" si="96" ref="CS63:DA63">CS64+CS67+CS68+CS69</f>
        <v>0</v>
      </c>
      <c r="CT63" s="803">
        <f t="shared" si="96"/>
        <v>0</v>
      </c>
      <c r="CU63" s="755">
        <f t="shared" si="96"/>
        <v>0</v>
      </c>
      <c r="CV63" s="742">
        <f>CV64+CV67+CV68+CV69</f>
        <v>0</v>
      </c>
      <c r="CW63" s="803">
        <f>CW64+CW67+CW68+CW69</f>
        <v>0</v>
      </c>
      <c r="CX63" s="755">
        <f>CX64+CX67+CX68+CX69</f>
        <v>0</v>
      </c>
      <c r="CY63" s="742">
        <f t="shared" si="96"/>
        <v>0</v>
      </c>
      <c r="CZ63" s="803">
        <f t="shared" si="96"/>
        <v>0</v>
      </c>
      <c r="DA63" s="755">
        <f t="shared" si="96"/>
        <v>0</v>
      </c>
      <c r="DB63" s="742">
        <f aca="true" t="shared" si="97" ref="DB63:DG63">DB64+DB67+DB68+DB69</f>
        <v>0</v>
      </c>
      <c r="DC63" s="803">
        <f t="shared" si="97"/>
        <v>0</v>
      </c>
      <c r="DD63" s="755">
        <f t="shared" si="97"/>
        <v>0</v>
      </c>
      <c r="DE63" s="742">
        <f t="shared" si="97"/>
        <v>0</v>
      </c>
      <c r="DF63" s="803">
        <f t="shared" si="97"/>
        <v>0</v>
      </c>
      <c r="DG63" s="755">
        <f t="shared" si="97"/>
        <v>0</v>
      </c>
      <c r="DH63" s="742">
        <f aca="true" t="shared" si="98" ref="DH63:DP63">DH64+DH67+DH68+DH69</f>
        <v>0</v>
      </c>
      <c r="DI63" s="803">
        <f t="shared" si="98"/>
        <v>0</v>
      </c>
      <c r="DJ63" s="755">
        <f t="shared" si="98"/>
        <v>0</v>
      </c>
      <c r="DK63" s="742">
        <f t="shared" si="98"/>
        <v>0</v>
      </c>
      <c r="DL63" s="803">
        <f t="shared" si="98"/>
        <v>0</v>
      </c>
      <c r="DM63" s="755">
        <f t="shared" si="98"/>
        <v>0</v>
      </c>
      <c r="DN63" s="742">
        <f t="shared" si="98"/>
        <v>495000</v>
      </c>
      <c r="DO63" s="803">
        <f t="shared" si="98"/>
        <v>310000</v>
      </c>
      <c r="DP63" s="755">
        <f t="shared" si="98"/>
        <v>340171.351</v>
      </c>
      <c r="DQ63" s="822">
        <f t="shared" si="93"/>
        <v>109.73269387096775</v>
      </c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  <c r="HF63" s="154"/>
      <c r="HG63" s="154"/>
      <c r="HH63" s="154"/>
      <c r="HI63" s="154"/>
      <c r="HJ63" s="154"/>
    </row>
    <row r="64" spans="1:218" ht="12.75" customHeight="1">
      <c r="A64" s="728"/>
      <c r="B64" s="715" t="s">
        <v>98</v>
      </c>
      <c r="C64" s="1962"/>
      <c r="D64" s="745">
        <f>SUM(D65:D66)</f>
        <v>0</v>
      </c>
      <c r="E64" s="806">
        <f>SUM(E65:E66)</f>
        <v>0</v>
      </c>
      <c r="F64" s="758">
        <f aca="true" t="shared" si="99" ref="F64:BN64">SUM(F65:F66)</f>
        <v>0</v>
      </c>
      <c r="G64" s="745">
        <f t="shared" si="99"/>
        <v>0</v>
      </c>
      <c r="H64" s="806">
        <f t="shared" si="99"/>
        <v>0</v>
      </c>
      <c r="I64" s="758">
        <f t="shared" si="99"/>
        <v>0</v>
      </c>
      <c r="J64" s="745">
        <f t="shared" si="99"/>
        <v>0</v>
      </c>
      <c r="K64" s="806">
        <f t="shared" si="99"/>
        <v>0</v>
      </c>
      <c r="L64" s="758">
        <f t="shared" si="99"/>
        <v>0</v>
      </c>
      <c r="M64" s="745">
        <f t="shared" si="99"/>
        <v>0</v>
      </c>
      <c r="N64" s="806">
        <f t="shared" si="99"/>
        <v>0</v>
      </c>
      <c r="O64" s="758">
        <f t="shared" si="99"/>
        <v>0</v>
      </c>
      <c r="P64" s="745">
        <f t="shared" si="99"/>
        <v>0</v>
      </c>
      <c r="Q64" s="806">
        <f t="shared" si="99"/>
        <v>0</v>
      </c>
      <c r="R64" s="758">
        <f t="shared" si="99"/>
        <v>0</v>
      </c>
      <c r="S64" s="745">
        <f t="shared" si="99"/>
        <v>0</v>
      </c>
      <c r="T64" s="806">
        <f t="shared" si="99"/>
        <v>0</v>
      </c>
      <c r="U64" s="758">
        <f t="shared" si="99"/>
        <v>0</v>
      </c>
      <c r="V64" s="745">
        <f t="shared" si="99"/>
        <v>0</v>
      </c>
      <c r="W64" s="806">
        <f t="shared" si="99"/>
        <v>0</v>
      </c>
      <c r="X64" s="758">
        <f t="shared" si="99"/>
        <v>0</v>
      </c>
      <c r="Y64" s="745">
        <f t="shared" si="99"/>
        <v>0</v>
      </c>
      <c r="Z64" s="806">
        <f t="shared" si="99"/>
        <v>0</v>
      </c>
      <c r="AA64" s="758">
        <f t="shared" si="99"/>
        <v>0</v>
      </c>
      <c r="AB64" s="745">
        <f t="shared" si="99"/>
        <v>0</v>
      </c>
      <c r="AC64" s="806">
        <f t="shared" si="99"/>
        <v>0</v>
      </c>
      <c r="AD64" s="758">
        <f t="shared" si="99"/>
        <v>0</v>
      </c>
      <c r="AE64" s="745">
        <f t="shared" si="99"/>
        <v>0</v>
      </c>
      <c r="AF64" s="806">
        <f t="shared" si="99"/>
        <v>0</v>
      </c>
      <c r="AG64" s="758">
        <f t="shared" si="99"/>
        <v>0</v>
      </c>
      <c r="AH64" s="745">
        <f t="shared" si="99"/>
        <v>195000</v>
      </c>
      <c r="AI64" s="806">
        <f t="shared" si="99"/>
        <v>200000</v>
      </c>
      <c r="AJ64" s="758">
        <f t="shared" si="99"/>
        <v>232213</v>
      </c>
      <c r="AK64" s="745">
        <f t="shared" si="99"/>
        <v>0</v>
      </c>
      <c r="AL64" s="806">
        <f t="shared" si="99"/>
        <v>0</v>
      </c>
      <c r="AM64" s="758">
        <f t="shared" si="99"/>
        <v>0</v>
      </c>
      <c r="AN64" s="745">
        <f t="shared" si="99"/>
        <v>0</v>
      </c>
      <c r="AO64" s="806">
        <f t="shared" si="99"/>
        <v>0</v>
      </c>
      <c r="AP64" s="758">
        <f t="shared" si="99"/>
        <v>0</v>
      </c>
      <c r="AQ64" s="745">
        <f t="shared" si="99"/>
        <v>0</v>
      </c>
      <c r="AR64" s="806">
        <f t="shared" si="99"/>
        <v>0</v>
      </c>
      <c r="AS64" s="758">
        <f t="shared" si="99"/>
        <v>0</v>
      </c>
      <c r="AT64" s="745">
        <f t="shared" si="99"/>
        <v>0</v>
      </c>
      <c r="AU64" s="806">
        <f t="shared" si="99"/>
        <v>0</v>
      </c>
      <c r="AV64" s="758">
        <f t="shared" si="99"/>
        <v>0</v>
      </c>
      <c r="AW64" s="745">
        <f t="shared" si="99"/>
        <v>0</v>
      </c>
      <c r="AX64" s="806">
        <f t="shared" si="99"/>
        <v>0</v>
      </c>
      <c r="AY64" s="758">
        <f t="shared" si="99"/>
        <v>0</v>
      </c>
      <c r="AZ64" s="745">
        <f t="shared" si="99"/>
        <v>0</v>
      </c>
      <c r="BA64" s="806">
        <f t="shared" si="99"/>
        <v>0</v>
      </c>
      <c r="BB64" s="758">
        <f t="shared" si="99"/>
        <v>0</v>
      </c>
      <c r="BC64" s="745">
        <f t="shared" si="99"/>
        <v>0</v>
      </c>
      <c r="BD64" s="806">
        <f t="shared" si="99"/>
        <v>0</v>
      </c>
      <c r="BE64" s="758">
        <f t="shared" si="99"/>
        <v>0</v>
      </c>
      <c r="BF64" s="745">
        <f t="shared" si="99"/>
        <v>0</v>
      </c>
      <c r="BG64" s="806">
        <f t="shared" si="99"/>
        <v>0</v>
      </c>
      <c r="BH64" s="758">
        <f t="shared" si="99"/>
        <v>0</v>
      </c>
      <c r="BI64" s="745">
        <f t="shared" si="99"/>
        <v>195000</v>
      </c>
      <c r="BJ64" s="806">
        <f t="shared" si="99"/>
        <v>200000</v>
      </c>
      <c r="BK64" s="758">
        <f t="shared" si="99"/>
        <v>232213</v>
      </c>
      <c r="BL64" s="745">
        <f t="shared" si="99"/>
        <v>0</v>
      </c>
      <c r="BM64" s="806">
        <f t="shared" si="99"/>
        <v>0</v>
      </c>
      <c r="BN64" s="758">
        <f t="shared" si="99"/>
        <v>0</v>
      </c>
      <c r="BO64" s="745">
        <f aca="true" t="shared" si="100" ref="BO64:CO64">SUM(BO65:BO66)</f>
        <v>0</v>
      </c>
      <c r="BP64" s="806">
        <f t="shared" si="100"/>
        <v>0</v>
      </c>
      <c r="BQ64" s="758">
        <f t="shared" si="100"/>
        <v>0</v>
      </c>
      <c r="BR64" s="745">
        <f t="shared" si="100"/>
        <v>0</v>
      </c>
      <c r="BS64" s="806">
        <f t="shared" si="100"/>
        <v>0</v>
      </c>
      <c r="BT64" s="758">
        <f t="shared" si="100"/>
        <v>0</v>
      </c>
      <c r="BU64" s="745">
        <f t="shared" si="100"/>
        <v>0</v>
      </c>
      <c r="BV64" s="806">
        <f t="shared" si="100"/>
        <v>0</v>
      </c>
      <c r="BW64" s="758">
        <f t="shared" si="100"/>
        <v>0</v>
      </c>
      <c r="BX64" s="745">
        <f t="shared" si="100"/>
        <v>0</v>
      </c>
      <c r="BY64" s="806">
        <f t="shared" si="100"/>
        <v>0</v>
      </c>
      <c r="BZ64" s="758">
        <f t="shared" si="100"/>
        <v>0</v>
      </c>
      <c r="CA64" s="745">
        <f t="shared" si="100"/>
        <v>0</v>
      </c>
      <c r="CB64" s="806">
        <f t="shared" si="100"/>
        <v>0</v>
      </c>
      <c r="CC64" s="758">
        <f t="shared" si="100"/>
        <v>0</v>
      </c>
      <c r="CD64" s="745">
        <f t="shared" si="100"/>
        <v>0</v>
      </c>
      <c r="CE64" s="806">
        <f t="shared" si="100"/>
        <v>0</v>
      </c>
      <c r="CF64" s="758">
        <f t="shared" si="100"/>
        <v>0</v>
      </c>
      <c r="CG64" s="745">
        <f t="shared" si="100"/>
        <v>0</v>
      </c>
      <c r="CH64" s="806">
        <f t="shared" si="100"/>
        <v>0</v>
      </c>
      <c r="CI64" s="758">
        <f t="shared" si="100"/>
        <v>0</v>
      </c>
      <c r="CJ64" s="745">
        <f t="shared" si="100"/>
        <v>0</v>
      </c>
      <c r="CK64" s="806">
        <f t="shared" si="100"/>
        <v>0</v>
      </c>
      <c r="CL64" s="758">
        <f t="shared" si="100"/>
        <v>0</v>
      </c>
      <c r="CM64" s="745">
        <f t="shared" si="100"/>
        <v>0</v>
      </c>
      <c r="CN64" s="806">
        <f t="shared" si="100"/>
        <v>0</v>
      </c>
      <c r="CO64" s="758">
        <f t="shared" si="100"/>
        <v>0</v>
      </c>
      <c r="CP64" s="745">
        <f t="shared" si="61"/>
        <v>195000</v>
      </c>
      <c r="CQ64" s="806">
        <f t="shared" si="62"/>
        <v>200000</v>
      </c>
      <c r="CR64" s="758">
        <f t="shared" si="63"/>
        <v>232213</v>
      </c>
      <c r="CS64" s="745">
        <f aca="true" t="shared" si="101" ref="CS64:DA64">SUM(CS65:CS66)</f>
        <v>0</v>
      </c>
      <c r="CT64" s="806">
        <f t="shared" si="101"/>
        <v>0</v>
      </c>
      <c r="CU64" s="758">
        <f t="shared" si="101"/>
        <v>0</v>
      </c>
      <c r="CV64" s="745">
        <f>SUM(CV65:CV66)</f>
        <v>0</v>
      </c>
      <c r="CW64" s="806">
        <f>SUM(CW65:CW66)</f>
        <v>0</v>
      </c>
      <c r="CX64" s="758">
        <f>SUM(CX65:CX66)</f>
        <v>0</v>
      </c>
      <c r="CY64" s="745">
        <f t="shared" si="101"/>
        <v>0</v>
      </c>
      <c r="CZ64" s="806">
        <f t="shared" si="101"/>
        <v>0</v>
      </c>
      <c r="DA64" s="758">
        <f t="shared" si="101"/>
        <v>0</v>
      </c>
      <c r="DB64" s="745">
        <f>SUM(DB65:DB66)</f>
        <v>0</v>
      </c>
      <c r="DC64" s="806">
        <f>SUM(DC65:DC66)</f>
        <v>0</v>
      </c>
      <c r="DD64" s="758">
        <f>SUM(DD65:DD66)</f>
        <v>0</v>
      </c>
      <c r="DE64" s="745">
        <f aca="true" t="shared" si="102" ref="DE64:DE75">CS64+CV64+CY64+DB64</f>
        <v>0</v>
      </c>
      <c r="DF64" s="806">
        <f aca="true" t="shared" si="103" ref="DF64:DF75">CT64+CW64+CZ64+DC64</f>
        <v>0</v>
      </c>
      <c r="DG64" s="758">
        <f aca="true" t="shared" si="104" ref="DG64:DG75">CU64+CX64+DA64+DD64</f>
        <v>0</v>
      </c>
      <c r="DH64" s="745">
        <f aca="true" t="shared" si="105" ref="DH64:DP64">SUM(DH65:DH66)</f>
        <v>0</v>
      </c>
      <c r="DI64" s="806">
        <f t="shared" si="105"/>
        <v>0</v>
      </c>
      <c r="DJ64" s="758">
        <f t="shared" si="105"/>
        <v>0</v>
      </c>
      <c r="DK64" s="745">
        <f t="shared" si="105"/>
        <v>0</v>
      </c>
      <c r="DL64" s="806">
        <f t="shared" si="105"/>
        <v>0</v>
      </c>
      <c r="DM64" s="758">
        <f t="shared" si="105"/>
        <v>0</v>
      </c>
      <c r="DN64" s="745">
        <f t="shared" si="105"/>
        <v>195000</v>
      </c>
      <c r="DO64" s="806">
        <f t="shared" si="105"/>
        <v>200000</v>
      </c>
      <c r="DP64" s="758">
        <f t="shared" si="105"/>
        <v>232213</v>
      </c>
      <c r="DQ64" s="827">
        <f t="shared" si="93"/>
        <v>116.1065</v>
      </c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  <c r="HF64" s="154"/>
      <c r="HG64" s="154"/>
      <c r="HH64" s="154"/>
      <c r="HI64" s="154"/>
      <c r="HJ64" s="154"/>
    </row>
    <row r="65" spans="1:218" ht="12.75" customHeight="1">
      <c r="A65" s="728"/>
      <c r="B65" s="725" t="s">
        <v>99</v>
      </c>
      <c r="C65" s="1973">
        <v>932111</v>
      </c>
      <c r="D65" s="1983"/>
      <c r="E65" s="802"/>
      <c r="F65" s="754"/>
      <c r="G65" s="1983"/>
      <c r="H65" s="802"/>
      <c r="I65" s="754"/>
      <c r="J65" s="1983"/>
      <c r="K65" s="802"/>
      <c r="L65" s="754"/>
      <c r="M65" s="1983"/>
      <c r="N65" s="802"/>
      <c r="O65" s="754"/>
      <c r="P65" s="1983"/>
      <c r="Q65" s="802"/>
      <c r="R65" s="754"/>
      <c r="S65" s="1983"/>
      <c r="T65" s="802"/>
      <c r="U65" s="754"/>
      <c r="V65" s="1983"/>
      <c r="W65" s="802"/>
      <c r="X65" s="754"/>
      <c r="Y65" s="1983"/>
      <c r="Z65" s="802"/>
      <c r="AA65" s="754"/>
      <c r="AB65" s="1983"/>
      <c r="AC65" s="802"/>
      <c r="AD65" s="754"/>
      <c r="AE65" s="1983"/>
      <c r="AF65" s="802"/>
      <c r="AG65" s="754"/>
      <c r="AH65" s="1983">
        <v>105000</v>
      </c>
      <c r="AI65" s="802">
        <v>110000</v>
      </c>
      <c r="AJ65" s="754">
        <v>142311</v>
      </c>
      <c r="AK65" s="1983"/>
      <c r="AL65" s="802"/>
      <c r="AM65" s="754"/>
      <c r="AN65" s="1983"/>
      <c r="AO65" s="802"/>
      <c r="AP65" s="754"/>
      <c r="AQ65" s="1983"/>
      <c r="AR65" s="802"/>
      <c r="AS65" s="754"/>
      <c r="AT65" s="1983"/>
      <c r="AU65" s="802"/>
      <c r="AV65" s="754"/>
      <c r="AW65" s="1983"/>
      <c r="AX65" s="802"/>
      <c r="AY65" s="754"/>
      <c r="AZ65" s="1983"/>
      <c r="BA65" s="802"/>
      <c r="BB65" s="754"/>
      <c r="BC65" s="1983"/>
      <c r="BD65" s="802"/>
      <c r="BE65" s="754"/>
      <c r="BF65" s="1983"/>
      <c r="BG65" s="802"/>
      <c r="BH65" s="754"/>
      <c r="BI65" s="1983">
        <f aca="true" t="shared" si="106" ref="BI65:BK69">D65+G65+J65+M65+P65+S65+V65+Y65+AB65+AE65+AH65+AK65+AN65+AQ65+AT65+AW65+AZ65+BC65+BF65</f>
        <v>105000</v>
      </c>
      <c r="BJ65" s="802">
        <f t="shared" si="106"/>
        <v>110000</v>
      </c>
      <c r="BK65" s="754">
        <f t="shared" si="106"/>
        <v>142311</v>
      </c>
      <c r="BL65" s="741"/>
      <c r="BM65" s="802"/>
      <c r="BN65" s="754"/>
      <c r="BO65" s="741"/>
      <c r="BP65" s="802"/>
      <c r="BQ65" s="754"/>
      <c r="BR65" s="741"/>
      <c r="BS65" s="802"/>
      <c r="BT65" s="754"/>
      <c r="BU65" s="741"/>
      <c r="BV65" s="802"/>
      <c r="BW65" s="754"/>
      <c r="BX65" s="741"/>
      <c r="BY65" s="802"/>
      <c r="BZ65" s="754"/>
      <c r="CA65" s="741"/>
      <c r="CB65" s="802"/>
      <c r="CC65" s="754"/>
      <c r="CD65" s="741"/>
      <c r="CE65" s="802"/>
      <c r="CF65" s="754"/>
      <c r="CG65" s="741"/>
      <c r="CH65" s="802"/>
      <c r="CI65" s="754"/>
      <c r="CJ65" s="741"/>
      <c r="CK65" s="802"/>
      <c r="CL65" s="754"/>
      <c r="CM65" s="741">
        <f aca="true" t="shared" si="107" ref="CM65:CO69">BL65+BO65+BR65+BU65+BX65+CA65+CD65+CG65+CJ65</f>
        <v>0</v>
      </c>
      <c r="CN65" s="802">
        <f t="shared" si="107"/>
        <v>0</v>
      </c>
      <c r="CO65" s="754">
        <f t="shared" si="107"/>
        <v>0</v>
      </c>
      <c r="CP65" s="741">
        <f t="shared" si="61"/>
        <v>105000</v>
      </c>
      <c r="CQ65" s="802">
        <f t="shared" si="62"/>
        <v>110000</v>
      </c>
      <c r="CR65" s="754">
        <f t="shared" si="63"/>
        <v>142311</v>
      </c>
      <c r="CS65" s="741"/>
      <c r="CT65" s="802"/>
      <c r="CU65" s="754"/>
      <c r="CV65" s="741"/>
      <c r="CW65" s="802"/>
      <c r="CX65" s="754"/>
      <c r="CY65" s="741"/>
      <c r="CZ65" s="802"/>
      <c r="DA65" s="754"/>
      <c r="DB65" s="741"/>
      <c r="DC65" s="802"/>
      <c r="DD65" s="754"/>
      <c r="DE65" s="741">
        <f t="shared" si="102"/>
        <v>0</v>
      </c>
      <c r="DF65" s="802">
        <f t="shared" si="103"/>
        <v>0</v>
      </c>
      <c r="DG65" s="754">
        <f t="shared" si="104"/>
        <v>0</v>
      </c>
      <c r="DH65" s="741"/>
      <c r="DI65" s="802"/>
      <c r="DJ65" s="754"/>
      <c r="DK65" s="741"/>
      <c r="DL65" s="802"/>
      <c r="DM65" s="754"/>
      <c r="DN65" s="741">
        <f aca="true" t="shared" si="108" ref="DN65:DP69">CP65+DE65+DH65+DK65</f>
        <v>105000</v>
      </c>
      <c r="DO65" s="802">
        <f t="shared" si="108"/>
        <v>110000</v>
      </c>
      <c r="DP65" s="754">
        <f t="shared" si="108"/>
        <v>142311</v>
      </c>
      <c r="DQ65" s="823">
        <f t="shared" si="93"/>
        <v>129.37363636363636</v>
      </c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  <c r="GC65" s="154"/>
      <c r="GD65" s="154"/>
      <c r="GE65" s="154"/>
      <c r="GF65" s="154"/>
      <c r="GG65" s="154"/>
      <c r="GH65" s="154"/>
      <c r="GI65" s="154"/>
      <c r="GJ65" s="154"/>
      <c r="GK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  <c r="HF65" s="154"/>
      <c r="HG65" s="154"/>
      <c r="HH65" s="154"/>
      <c r="HI65" s="154"/>
      <c r="HJ65" s="154"/>
    </row>
    <row r="66" spans="1:218" ht="12.75" customHeight="1">
      <c r="A66" s="728"/>
      <c r="B66" s="725" t="s">
        <v>100</v>
      </c>
      <c r="C66" s="1973"/>
      <c r="D66" s="1983"/>
      <c r="E66" s="802"/>
      <c r="F66" s="754"/>
      <c r="G66" s="1983"/>
      <c r="H66" s="802"/>
      <c r="I66" s="754"/>
      <c r="J66" s="1983"/>
      <c r="K66" s="802"/>
      <c r="L66" s="754"/>
      <c r="M66" s="1983"/>
      <c r="N66" s="802"/>
      <c r="O66" s="754"/>
      <c r="P66" s="1983"/>
      <c r="Q66" s="802"/>
      <c r="R66" s="754"/>
      <c r="S66" s="1983"/>
      <c r="T66" s="802"/>
      <c r="U66" s="754"/>
      <c r="V66" s="1983"/>
      <c r="W66" s="802"/>
      <c r="X66" s="754"/>
      <c r="Y66" s="1983"/>
      <c r="Z66" s="802"/>
      <c r="AA66" s="754"/>
      <c r="AB66" s="1983"/>
      <c r="AC66" s="802"/>
      <c r="AD66" s="754"/>
      <c r="AE66" s="1983"/>
      <c r="AF66" s="802"/>
      <c r="AG66" s="754"/>
      <c r="AH66" s="1983">
        <v>90000</v>
      </c>
      <c r="AI66" s="802">
        <v>90000</v>
      </c>
      <c r="AJ66" s="754">
        <v>89902</v>
      </c>
      <c r="AK66" s="1983"/>
      <c r="AL66" s="802"/>
      <c r="AM66" s="754"/>
      <c r="AN66" s="1983"/>
      <c r="AO66" s="802"/>
      <c r="AP66" s="754"/>
      <c r="AQ66" s="1983"/>
      <c r="AR66" s="802"/>
      <c r="AS66" s="754"/>
      <c r="AT66" s="1983"/>
      <c r="AU66" s="802"/>
      <c r="AV66" s="754"/>
      <c r="AW66" s="1983"/>
      <c r="AX66" s="802"/>
      <c r="AY66" s="754"/>
      <c r="AZ66" s="1983"/>
      <c r="BA66" s="802"/>
      <c r="BB66" s="754"/>
      <c r="BC66" s="1983"/>
      <c r="BD66" s="802"/>
      <c r="BE66" s="754"/>
      <c r="BF66" s="1983"/>
      <c r="BG66" s="802"/>
      <c r="BH66" s="754"/>
      <c r="BI66" s="1983">
        <f t="shared" si="106"/>
        <v>90000</v>
      </c>
      <c r="BJ66" s="802">
        <f t="shared" si="106"/>
        <v>90000</v>
      </c>
      <c r="BK66" s="754">
        <f t="shared" si="106"/>
        <v>89902</v>
      </c>
      <c r="BL66" s="741"/>
      <c r="BM66" s="802"/>
      <c r="BN66" s="754"/>
      <c r="BO66" s="741"/>
      <c r="BP66" s="802"/>
      <c r="BQ66" s="754"/>
      <c r="BR66" s="741"/>
      <c r="BS66" s="802"/>
      <c r="BT66" s="754"/>
      <c r="BU66" s="741"/>
      <c r="BV66" s="802"/>
      <c r="BW66" s="754"/>
      <c r="BX66" s="741"/>
      <c r="BY66" s="802"/>
      <c r="BZ66" s="754"/>
      <c r="CA66" s="741"/>
      <c r="CB66" s="802"/>
      <c r="CC66" s="754"/>
      <c r="CD66" s="741"/>
      <c r="CE66" s="802"/>
      <c r="CF66" s="754"/>
      <c r="CG66" s="741"/>
      <c r="CH66" s="802"/>
      <c r="CI66" s="754"/>
      <c r="CJ66" s="741"/>
      <c r="CK66" s="802"/>
      <c r="CL66" s="754"/>
      <c r="CM66" s="741">
        <f t="shared" si="107"/>
        <v>0</v>
      </c>
      <c r="CN66" s="802">
        <f t="shared" si="107"/>
        <v>0</v>
      </c>
      <c r="CO66" s="754">
        <f t="shared" si="107"/>
        <v>0</v>
      </c>
      <c r="CP66" s="741">
        <f t="shared" si="61"/>
        <v>90000</v>
      </c>
      <c r="CQ66" s="802">
        <f t="shared" si="62"/>
        <v>90000</v>
      </c>
      <c r="CR66" s="754">
        <f t="shared" si="63"/>
        <v>89902</v>
      </c>
      <c r="CS66" s="741"/>
      <c r="CT66" s="802"/>
      <c r="CU66" s="754"/>
      <c r="CV66" s="741"/>
      <c r="CW66" s="802"/>
      <c r="CX66" s="754"/>
      <c r="CY66" s="741"/>
      <c r="CZ66" s="802"/>
      <c r="DA66" s="754"/>
      <c r="DB66" s="741"/>
      <c r="DC66" s="802"/>
      <c r="DD66" s="754"/>
      <c r="DE66" s="741">
        <f t="shared" si="102"/>
        <v>0</v>
      </c>
      <c r="DF66" s="802">
        <f t="shared" si="103"/>
        <v>0</v>
      </c>
      <c r="DG66" s="754">
        <f t="shared" si="104"/>
        <v>0</v>
      </c>
      <c r="DH66" s="741"/>
      <c r="DI66" s="802"/>
      <c r="DJ66" s="754"/>
      <c r="DK66" s="741"/>
      <c r="DL66" s="802"/>
      <c r="DM66" s="754"/>
      <c r="DN66" s="741">
        <f t="shared" si="108"/>
        <v>90000</v>
      </c>
      <c r="DO66" s="802">
        <f t="shared" si="108"/>
        <v>90000</v>
      </c>
      <c r="DP66" s="754">
        <f t="shared" si="108"/>
        <v>89902</v>
      </c>
      <c r="DQ66" s="823">
        <f t="shared" si="93"/>
        <v>99.89111111111112</v>
      </c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</row>
    <row r="67" spans="1:218" ht="12.75" customHeight="1">
      <c r="A67" s="724"/>
      <c r="B67" s="715" t="s">
        <v>101</v>
      </c>
      <c r="C67" s="1962" t="s">
        <v>208</v>
      </c>
      <c r="D67" s="743"/>
      <c r="E67" s="804"/>
      <c r="F67" s="756"/>
      <c r="G67" s="743"/>
      <c r="H67" s="804"/>
      <c r="I67" s="756"/>
      <c r="J67" s="743"/>
      <c r="K67" s="804"/>
      <c r="L67" s="756"/>
      <c r="M67" s="743"/>
      <c r="N67" s="804"/>
      <c r="O67" s="756"/>
      <c r="P67" s="743"/>
      <c r="Q67" s="804"/>
      <c r="R67" s="756"/>
      <c r="S67" s="743"/>
      <c r="T67" s="804"/>
      <c r="U67" s="756"/>
      <c r="V67" s="743"/>
      <c r="W67" s="804"/>
      <c r="X67" s="756"/>
      <c r="Y67" s="743"/>
      <c r="Z67" s="804"/>
      <c r="AA67" s="756"/>
      <c r="AB67" s="743"/>
      <c r="AC67" s="804"/>
      <c r="AD67" s="756"/>
      <c r="AE67" s="743"/>
      <c r="AF67" s="804"/>
      <c r="AG67" s="756"/>
      <c r="AH67" s="743">
        <v>50000</v>
      </c>
      <c r="AI67" s="804">
        <v>50000</v>
      </c>
      <c r="AJ67" s="756">
        <v>27833</v>
      </c>
      <c r="AK67" s="743"/>
      <c r="AL67" s="804"/>
      <c r="AM67" s="756"/>
      <c r="AN67" s="743"/>
      <c r="AO67" s="804"/>
      <c r="AP67" s="756"/>
      <c r="AQ67" s="743"/>
      <c r="AR67" s="804"/>
      <c r="AS67" s="756"/>
      <c r="AT67" s="743"/>
      <c r="AU67" s="804"/>
      <c r="AV67" s="756"/>
      <c r="AW67" s="743"/>
      <c r="AX67" s="804"/>
      <c r="AY67" s="756"/>
      <c r="AZ67" s="743"/>
      <c r="BA67" s="804"/>
      <c r="BB67" s="756"/>
      <c r="BC67" s="743"/>
      <c r="BD67" s="804"/>
      <c r="BE67" s="756"/>
      <c r="BF67" s="743">
        <v>250000</v>
      </c>
      <c r="BG67" s="804">
        <v>60000</v>
      </c>
      <c r="BH67" s="756">
        <v>80125.351</v>
      </c>
      <c r="BI67" s="743">
        <f t="shared" si="106"/>
        <v>300000</v>
      </c>
      <c r="BJ67" s="804">
        <f t="shared" si="106"/>
        <v>110000</v>
      </c>
      <c r="BK67" s="756">
        <f t="shared" si="106"/>
        <v>107958.351</v>
      </c>
      <c r="BL67" s="744"/>
      <c r="BM67" s="805"/>
      <c r="BN67" s="757"/>
      <c r="BO67" s="744"/>
      <c r="BP67" s="805"/>
      <c r="BQ67" s="757"/>
      <c r="BR67" s="744"/>
      <c r="BS67" s="805"/>
      <c r="BT67" s="757"/>
      <c r="BU67" s="744"/>
      <c r="BV67" s="805"/>
      <c r="BW67" s="757"/>
      <c r="BX67" s="744"/>
      <c r="BY67" s="805"/>
      <c r="BZ67" s="757"/>
      <c r="CA67" s="744"/>
      <c r="CB67" s="805"/>
      <c r="CC67" s="757"/>
      <c r="CD67" s="744"/>
      <c r="CE67" s="805"/>
      <c r="CF67" s="757"/>
      <c r="CG67" s="744"/>
      <c r="CH67" s="805"/>
      <c r="CI67" s="757"/>
      <c r="CJ67" s="744"/>
      <c r="CK67" s="805"/>
      <c r="CL67" s="757"/>
      <c r="CM67" s="744">
        <f t="shared" si="107"/>
        <v>0</v>
      </c>
      <c r="CN67" s="805">
        <f t="shared" si="107"/>
        <v>0</v>
      </c>
      <c r="CO67" s="757">
        <f t="shared" si="107"/>
        <v>0</v>
      </c>
      <c r="CP67" s="743">
        <f t="shared" si="61"/>
        <v>300000</v>
      </c>
      <c r="CQ67" s="804">
        <f t="shared" si="62"/>
        <v>110000</v>
      </c>
      <c r="CR67" s="756">
        <f t="shared" si="63"/>
        <v>107958.351</v>
      </c>
      <c r="CS67" s="744"/>
      <c r="CT67" s="805"/>
      <c r="CU67" s="757"/>
      <c r="CV67" s="744"/>
      <c r="CW67" s="805"/>
      <c r="CX67" s="757"/>
      <c r="CY67" s="744"/>
      <c r="CZ67" s="805"/>
      <c r="DA67" s="757"/>
      <c r="DB67" s="744"/>
      <c r="DC67" s="805"/>
      <c r="DD67" s="757"/>
      <c r="DE67" s="744">
        <f t="shared" si="102"/>
        <v>0</v>
      </c>
      <c r="DF67" s="805">
        <f t="shared" si="103"/>
        <v>0</v>
      </c>
      <c r="DG67" s="757">
        <f t="shared" si="104"/>
        <v>0</v>
      </c>
      <c r="DH67" s="744"/>
      <c r="DI67" s="805"/>
      <c r="DJ67" s="757"/>
      <c r="DK67" s="744"/>
      <c r="DL67" s="805"/>
      <c r="DM67" s="757"/>
      <c r="DN67" s="744">
        <f t="shared" si="108"/>
        <v>300000</v>
      </c>
      <c r="DO67" s="805">
        <f t="shared" si="108"/>
        <v>110000</v>
      </c>
      <c r="DP67" s="757">
        <f t="shared" si="108"/>
        <v>107958.351</v>
      </c>
      <c r="DQ67" s="823">
        <f t="shared" si="93"/>
        <v>98.14395545454545</v>
      </c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  <c r="HF67" s="154"/>
      <c r="HG67" s="154"/>
      <c r="HH67" s="154"/>
      <c r="HI67" s="154"/>
      <c r="HJ67" s="154"/>
    </row>
    <row r="68" spans="1:218" ht="12.75" customHeight="1">
      <c r="A68" s="724"/>
      <c r="B68" s="715" t="s">
        <v>877</v>
      </c>
      <c r="C68" s="1962">
        <v>932142</v>
      </c>
      <c r="D68" s="1983"/>
      <c r="E68" s="802"/>
      <c r="F68" s="754"/>
      <c r="G68" s="1983"/>
      <c r="H68" s="802"/>
      <c r="I68" s="754"/>
      <c r="J68" s="1983"/>
      <c r="K68" s="802"/>
      <c r="L68" s="754"/>
      <c r="M68" s="1983"/>
      <c r="N68" s="802"/>
      <c r="O68" s="754"/>
      <c r="P68" s="1983"/>
      <c r="Q68" s="802"/>
      <c r="R68" s="754"/>
      <c r="S68" s="1983"/>
      <c r="T68" s="802"/>
      <c r="U68" s="754"/>
      <c r="V68" s="1983"/>
      <c r="W68" s="802"/>
      <c r="X68" s="754"/>
      <c r="Y68" s="1983"/>
      <c r="Z68" s="802"/>
      <c r="AA68" s="754"/>
      <c r="AB68" s="1983"/>
      <c r="AC68" s="802"/>
      <c r="AD68" s="754"/>
      <c r="AE68" s="1983"/>
      <c r="AF68" s="802"/>
      <c r="AG68" s="754"/>
      <c r="AH68" s="1983"/>
      <c r="AI68" s="802"/>
      <c r="AJ68" s="754"/>
      <c r="AK68" s="1983"/>
      <c r="AL68" s="802"/>
      <c r="AM68" s="754"/>
      <c r="AN68" s="1983"/>
      <c r="AO68" s="802"/>
      <c r="AP68" s="754"/>
      <c r="AQ68" s="1983"/>
      <c r="AR68" s="802"/>
      <c r="AS68" s="754"/>
      <c r="AT68" s="1983"/>
      <c r="AU68" s="802"/>
      <c r="AV68" s="754"/>
      <c r="AW68" s="1983"/>
      <c r="AX68" s="802"/>
      <c r="AY68" s="754"/>
      <c r="AZ68" s="1983"/>
      <c r="BA68" s="802"/>
      <c r="BB68" s="754"/>
      <c r="BC68" s="1983"/>
      <c r="BD68" s="802"/>
      <c r="BE68" s="754"/>
      <c r="BF68" s="1983"/>
      <c r="BG68" s="802"/>
      <c r="BH68" s="754"/>
      <c r="BI68" s="1983">
        <f t="shared" si="106"/>
        <v>0</v>
      </c>
      <c r="BJ68" s="802">
        <f t="shared" si="106"/>
        <v>0</v>
      </c>
      <c r="BK68" s="754">
        <f t="shared" si="106"/>
        <v>0</v>
      </c>
      <c r="BL68" s="741"/>
      <c r="BM68" s="802"/>
      <c r="BN68" s="754"/>
      <c r="BO68" s="741"/>
      <c r="BP68" s="802"/>
      <c r="BQ68" s="754"/>
      <c r="BR68" s="741"/>
      <c r="BS68" s="802"/>
      <c r="BT68" s="754"/>
      <c r="BU68" s="741"/>
      <c r="BV68" s="802"/>
      <c r="BW68" s="754"/>
      <c r="BX68" s="741"/>
      <c r="BY68" s="802"/>
      <c r="BZ68" s="754"/>
      <c r="CA68" s="741"/>
      <c r="CB68" s="802"/>
      <c r="CC68" s="754"/>
      <c r="CD68" s="741"/>
      <c r="CE68" s="802"/>
      <c r="CF68" s="754"/>
      <c r="CG68" s="741"/>
      <c r="CH68" s="802"/>
      <c r="CI68" s="754"/>
      <c r="CJ68" s="741"/>
      <c r="CK68" s="802"/>
      <c r="CL68" s="754"/>
      <c r="CM68" s="741">
        <f t="shared" si="107"/>
        <v>0</v>
      </c>
      <c r="CN68" s="802">
        <f t="shared" si="107"/>
        <v>0</v>
      </c>
      <c r="CO68" s="754">
        <f t="shared" si="107"/>
        <v>0</v>
      </c>
      <c r="CP68" s="741">
        <f t="shared" si="61"/>
        <v>0</v>
      </c>
      <c r="CQ68" s="802">
        <f t="shared" si="62"/>
        <v>0</v>
      </c>
      <c r="CR68" s="754">
        <f t="shared" si="63"/>
        <v>0</v>
      </c>
      <c r="CS68" s="741"/>
      <c r="CT68" s="802"/>
      <c r="CU68" s="754"/>
      <c r="CV68" s="741"/>
      <c r="CW68" s="802"/>
      <c r="CX68" s="754"/>
      <c r="CY68" s="741"/>
      <c r="CZ68" s="802"/>
      <c r="DA68" s="754"/>
      <c r="DB68" s="741"/>
      <c r="DC68" s="802"/>
      <c r="DD68" s="754"/>
      <c r="DE68" s="741">
        <f t="shared" si="102"/>
        <v>0</v>
      </c>
      <c r="DF68" s="802">
        <f t="shared" si="103"/>
        <v>0</v>
      </c>
      <c r="DG68" s="754">
        <f t="shared" si="104"/>
        <v>0</v>
      </c>
      <c r="DH68" s="741"/>
      <c r="DI68" s="802"/>
      <c r="DJ68" s="754"/>
      <c r="DK68" s="741"/>
      <c r="DL68" s="802"/>
      <c r="DM68" s="754"/>
      <c r="DN68" s="741">
        <f t="shared" si="108"/>
        <v>0</v>
      </c>
      <c r="DO68" s="802">
        <f t="shared" si="108"/>
        <v>0</v>
      </c>
      <c r="DP68" s="754">
        <f t="shared" si="108"/>
        <v>0</v>
      </c>
      <c r="DQ68" s="823">
        <v>0</v>
      </c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</row>
    <row r="69" spans="1:218" ht="12.75" customHeight="1">
      <c r="A69" s="724"/>
      <c r="B69" s="715" t="s">
        <v>102</v>
      </c>
      <c r="C69" s="1962"/>
      <c r="D69" s="744"/>
      <c r="E69" s="805"/>
      <c r="F69" s="757"/>
      <c r="G69" s="744"/>
      <c r="H69" s="805"/>
      <c r="I69" s="757"/>
      <c r="J69" s="744"/>
      <c r="K69" s="805"/>
      <c r="L69" s="757"/>
      <c r="M69" s="744"/>
      <c r="N69" s="805"/>
      <c r="O69" s="757"/>
      <c r="P69" s="744"/>
      <c r="Q69" s="805"/>
      <c r="R69" s="757"/>
      <c r="S69" s="744"/>
      <c r="T69" s="805"/>
      <c r="U69" s="757"/>
      <c r="V69" s="744"/>
      <c r="W69" s="805"/>
      <c r="X69" s="757"/>
      <c r="Y69" s="744"/>
      <c r="Z69" s="805"/>
      <c r="AA69" s="757"/>
      <c r="AB69" s="744"/>
      <c r="AC69" s="805"/>
      <c r="AD69" s="757"/>
      <c r="AE69" s="744"/>
      <c r="AF69" s="805"/>
      <c r="AG69" s="757"/>
      <c r="AH69" s="744"/>
      <c r="AI69" s="805"/>
      <c r="AJ69" s="757"/>
      <c r="AK69" s="744"/>
      <c r="AL69" s="805"/>
      <c r="AM69" s="757"/>
      <c r="AN69" s="744"/>
      <c r="AO69" s="805"/>
      <c r="AP69" s="757"/>
      <c r="AQ69" s="744"/>
      <c r="AR69" s="805"/>
      <c r="AS69" s="757"/>
      <c r="AT69" s="744"/>
      <c r="AU69" s="805"/>
      <c r="AV69" s="757"/>
      <c r="AW69" s="744"/>
      <c r="AX69" s="805"/>
      <c r="AY69" s="757"/>
      <c r="AZ69" s="744"/>
      <c r="BA69" s="805"/>
      <c r="BB69" s="757"/>
      <c r="BC69" s="744"/>
      <c r="BD69" s="805"/>
      <c r="BE69" s="757"/>
      <c r="BF69" s="744"/>
      <c r="BG69" s="805"/>
      <c r="BH69" s="757"/>
      <c r="BI69" s="744">
        <f t="shared" si="106"/>
        <v>0</v>
      </c>
      <c r="BJ69" s="805">
        <f t="shared" si="106"/>
        <v>0</v>
      </c>
      <c r="BK69" s="757">
        <f t="shared" si="106"/>
        <v>0</v>
      </c>
      <c r="BL69" s="744"/>
      <c r="BM69" s="805"/>
      <c r="BN69" s="757"/>
      <c r="BO69" s="744"/>
      <c r="BP69" s="805"/>
      <c r="BQ69" s="757"/>
      <c r="BR69" s="744"/>
      <c r="BS69" s="805"/>
      <c r="BT69" s="757"/>
      <c r="BU69" s="744"/>
      <c r="BV69" s="805"/>
      <c r="BW69" s="757"/>
      <c r="BX69" s="744"/>
      <c r="BY69" s="805"/>
      <c r="BZ69" s="757"/>
      <c r="CA69" s="744"/>
      <c r="CB69" s="805"/>
      <c r="CC69" s="757"/>
      <c r="CD69" s="744"/>
      <c r="CE69" s="805"/>
      <c r="CF69" s="757"/>
      <c r="CG69" s="744"/>
      <c r="CH69" s="805"/>
      <c r="CI69" s="757"/>
      <c r="CJ69" s="744"/>
      <c r="CK69" s="805"/>
      <c r="CL69" s="757"/>
      <c r="CM69" s="744">
        <f t="shared" si="107"/>
        <v>0</v>
      </c>
      <c r="CN69" s="805">
        <f t="shared" si="107"/>
        <v>0</v>
      </c>
      <c r="CO69" s="757">
        <f t="shared" si="107"/>
        <v>0</v>
      </c>
      <c r="CP69" s="744">
        <f t="shared" si="61"/>
        <v>0</v>
      </c>
      <c r="CQ69" s="805">
        <f t="shared" si="62"/>
        <v>0</v>
      </c>
      <c r="CR69" s="757">
        <f t="shared" si="63"/>
        <v>0</v>
      </c>
      <c r="CS69" s="744"/>
      <c r="CT69" s="805"/>
      <c r="CU69" s="757"/>
      <c r="CV69" s="744"/>
      <c r="CW69" s="805"/>
      <c r="CX69" s="757"/>
      <c r="CY69" s="744"/>
      <c r="CZ69" s="805"/>
      <c r="DA69" s="757"/>
      <c r="DB69" s="744"/>
      <c r="DC69" s="805"/>
      <c r="DD69" s="757"/>
      <c r="DE69" s="744">
        <f t="shared" si="102"/>
        <v>0</v>
      </c>
      <c r="DF69" s="805">
        <f t="shared" si="103"/>
        <v>0</v>
      </c>
      <c r="DG69" s="757">
        <f t="shared" si="104"/>
        <v>0</v>
      </c>
      <c r="DH69" s="744"/>
      <c r="DI69" s="805"/>
      <c r="DJ69" s="757"/>
      <c r="DK69" s="744"/>
      <c r="DL69" s="805"/>
      <c r="DM69" s="757"/>
      <c r="DN69" s="744">
        <f t="shared" si="108"/>
        <v>0</v>
      </c>
      <c r="DO69" s="805">
        <f t="shared" si="108"/>
        <v>0</v>
      </c>
      <c r="DP69" s="757">
        <f t="shared" si="108"/>
        <v>0</v>
      </c>
      <c r="DQ69" s="826">
        <v>0</v>
      </c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</row>
    <row r="70" spans="1:232" s="148" customFormat="1" ht="12.75" customHeight="1">
      <c r="A70" s="723" t="s">
        <v>156</v>
      </c>
      <c r="B70" s="712" t="s">
        <v>178</v>
      </c>
      <c r="C70" s="1960">
        <v>933</v>
      </c>
      <c r="D70" s="742">
        <f aca="true" t="shared" si="109" ref="D70:AD70">D71+D74+D75</f>
        <v>0</v>
      </c>
      <c r="E70" s="803">
        <f t="shared" si="109"/>
        <v>0</v>
      </c>
      <c r="F70" s="755">
        <f t="shared" si="109"/>
        <v>0</v>
      </c>
      <c r="G70" s="742">
        <f t="shared" si="109"/>
        <v>0</v>
      </c>
      <c r="H70" s="803">
        <f t="shared" si="109"/>
        <v>0</v>
      </c>
      <c r="I70" s="755">
        <f t="shared" si="109"/>
        <v>0</v>
      </c>
      <c r="J70" s="742">
        <f t="shared" si="109"/>
        <v>0</v>
      </c>
      <c r="K70" s="803">
        <f t="shared" si="109"/>
        <v>0</v>
      </c>
      <c r="L70" s="755">
        <f t="shared" si="109"/>
        <v>0</v>
      </c>
      <c r="M70" s="742">
        <f t="shared" si="109"/>
        <v>0</v>
      </c>
      <c r="N70" s="803">
        <f t="shared" si="109"/>
        <v>0</v>
      </c>
      <c r="O70" s="755">
        <f t="shared" si="109"/>
        <v>0</v>
      </c>
      <c r="P70" s="742">
        <f t="shared" si="109"/>
        <v>0</v>
      </c>
      <c r="Q70" s="803">
        <f t="shared" si="109"/>
        <v>0</v>
      </c>
      <c r="R70" s="755">
        <f t="shared" si="109"/>
        <v>0</v>
      </c>
      <c r="S70" s="742">
        <f t="shared" si="109"/>
        <v>0</v>
      </c>
      <c r="T70" s="803">
        <f t="shared" si="109"/>
        <v>0</v>
      </c>
      <c r="U70" s="755">
        <f t="shared" si="109"/>
        <v>0</v>
      </c>
      <c r="V70" s="742">
        <f t="shared" si="109"/>
        <v>0</v>
      </c>
      <c r="W70" s="803">
        <f t="shared" si="109"/>
        <v>0</v>
      </c>
      <c r="X70" s="755">
        <f t="shared" si="109"/>
        <v>0</v>
      </c>
      <c r="Y70" s="742">
        <f t="shared" si="109"/>
        <v>0</v>
      </c>
      <c r="Z70" s="803">
        <f t="shared" si="109"/>
        <v>0</v>
      </c>
      <c r="AA70" s="755">
        <f t="shared" si="109"/>
        <v>0</v>
      </c>
      <c r="AB70" s="742">
        <f t="shared" si="109"/>
        <v>0</v>
      </c>
      <c r="AC70" s="803">
        <f t="shared" si="109"/>
        <v>0</v>
      </c>
      <c r="AD70" s="755">
        <f t="shared" si="109"/>
        <v>0</v>
      </c>
      <c r="AE70" s="742">
        <f>AE71+AE74+AE75</f>
        <v>0</v>
      </c>
      <c r="AF70" s="803">
        <f aca="true" t="shared" si="110" ref="AF70:CO70">AF71+AF74+AF75</f>
        <v>0</v>
      </c>
      <c r="AG70" s="755">
        <f t="shared" si="110"/>
        <v>0</v>
      </c>
      <c r="AH70" s="742">
        <f t="shared" si="110"/>
        <v>0</v>
      </c>
      <c r="AI70" s="803">
        <f t="shared" si="110"/>
        <v>0</v>
      </c>
      <c r="AJ70" s="755">
        <f t="shared" si="110"/>
        <v>0</v>
      </c>
      <c r="AK70" s="742">
        <f t="shared" si="110"/>
        <v>0</v>
      </c>
      <c r="AL70" s="803">
        <f t="shared" si="110"/>
        <v>0</v>
      </c>
      <c r="AM70" s="755">
        <f t="shared" si="110"/>
        <v>0</v>
      </c>
      <c r="AN70" s="742">
        <f t="shared" si="110"/>
        <v>0</v>
      </c>
      <c r="AO70" s="803">
        <f t="shared" si="110"/>
        <v>0</v>
      </c>
      <c r="AP70" s="755">
        <f t="shared" si="110"/>
        <v>0</v>
      </c>
      <c r="AQ70" s="742">
        <f t="shared" si="110"/>
        <v>0</v>
      </c>
      <c r="AR70" s="803">
        <f t="shared" si="110"/>
        <v>0</v>
      </c>
      <c r="AS70" s="755">
        <f t="shared" si="110"/>
        <v>0</v>
      </c>
      <c r="AT70" s="742">
        <f t="shared" si="110"/>
        <v>0</v>
      </c>
      <c r="AU70" s="803">
        <f t="shared" si="110"/>
        <v>0</v>
      </c>
      <c r="AV70" s="755">
        <f t="shared" si="110"/>
        <v>0</v>
      </c>
      <c r="AW70" s="742">
        <f t="shared" si="110"/>
        <v>0</v>
      </c>
      <c r="AX70" s="803">
        <f t="shared" si="110"/>
        <v>0</v>
      </c>
      <c r="AY70" s="755">
        <f t="shared" si="110"/>
        <v>0</v>
      </c>
      <c r="AZ70" s="742">
        <f t="shared" si="110"/>
        <v>0</v>
      </c>
      <c r="BA70" s="803">
        <f t="shared" si="110"/>
        <v>0</v>
      </c>
      <c r="BB70" s="755">
        <f t="shared" si="110"/>
        <v>0</v>
      </c>
      <c r="BC70" s="742">
        <f t="shared" si="110"/>
        <v>0</v>
      </c>
      <c r="BD70" s="803">
        <f t="shared" si="110"/>
        <v>0</v>
      </c>
      <c r="BE70" s="755">
        <f t="shared" si="110"/>
        <v>0</v>
      </c>
      <c r="BF70" s="742">
        <f t="shared" si="110"/>
        <v>20682</v>
      </c>
      <c r="BG70" s="803">
        <f t="shared" si="110"/>
        <v>41795</v>
      </c>
      <c r="BH70" s="755">
        <f t="shared" si="110"/>
        <v>41795.05</v>
      </c>
      <c r="BI70" s="742">
        <f t="shared" si="110"/>
        <v>20682</v>
      </c>
      <c r="BJ70" s="803">
        <f t="shared" si="110"/>
        <v>41795</v>
      </c>
      <c r="BK70" s="755">
        <f t="shared" si="110"/>
        <v>41795.05</v>
      </c>
      <c r="BL70" s="742">
        <f t="shared" si="110"/>
        <v>0</v>
      </c>
      <c r="BM70" s="803">
        <f t="shared" si="110"/>
        <v>0</v>
      </c>
      <c r="BN70" s="755">
        <f t="shared" si="110"/>
        <v>0</v>
      </c>
      <c r="BO70" s="742">
        <f t="shared" si="110"/>
        <v>0</v>
      </c>
      <c r="BP70" s="803">
        <f t="shared" si="110"/>
        <v>0</v>
      </c>
      <c r="BQ70" s="755">
        <f t="shared" si="110"/>
        <v>0</v>
      </c>
      <c r="BR70" s="742">
        <f t="shared" si="110"/>
        <v>0</v>
      </c>
      <c r="BS70" s="803">
        <f t="shared" si="110"/>
        <v>0</v>
      </c>
      <c r="BT70" s="755">
        <f t="shared" si="110"/>
        <v>0</v>
      </c>
      <c r="BU70" s="742">
        <f t="shared" si="110"/>
        <v>0</v>
      </c>
      <c r="BV70" s="803">
        <f t="shared" si="110"/>
        <v>0</v>
      </c>
      <c r="BW70" s="755">
        <f t="shared" si="110"/>
        <v>0</v>
      </c>
      <c r="BX70" s="742">
        <f t="shared" si="110"/>
        <v>0</v>
      </c>
      <c r="BY70" s="803">
        <f t="shared" si="110"/>
        <v>0</v>
      </c>
      <c r="BZ70" s="755">
        <f t="shared" si="110"/>
        <v>0</v>
      </c>
      <c r="CA70" s="742">
        <f t="shared" si="110"/>
        <v>0</v>
      </c>
      <c r="CB70" s="803">
        <f t="shared" si="110"/>
        <v>0</v>
      </c>
      <c r="CC70" s="755">
        <f t="shared" si="110"/>
        <v>0</v>
      </c>
      <c r="CD70" s="742">
        <f t="shared" si="110"/>
        <v>0</v>
      </c>
      <c r="CE70" s="803">
        <f t="shared" si="110"/>
        <v>0</v>
      </c>
      <c r="CF70" s="755">
        <f t="shared" si="110"/>
        <v>0</v>
      </c>
      <c r="CG70" s="742">
        <f t="shared" si="110"/>
        <v>0</v>
      </c>
      <c r="CH70" s="803">
        <f t="shared" si="110"/>
        <v>0</v>
      </c>
      <c r="CI70" s="755">
        <f t="shared" si="110"/>
        <v>0</v>
      </c>
      <c r="CJ70" s="742">
        <f t="shared" si="110"/>
        <v>0</v>
      </c>
      <c r="CK70" s="803">
        <f t="shared" si="110"/>
        <v>0</v>
      </c>
      <c r="CL70" s="755">
        <f t="shared" si="110"/>
        <v>0</v>
      </c>
      <c r="CM70" s="742">
        <f t="shared" si="110"/>
        <v>0</v>
      </c>
      <c r="CN70" s="803">
        <f t="shared" si="110"/>
        <v>0</v>
      </c>
      <c r="CO70" s="755">
        <f t="shared" si="110"/>
        <v>0</v>
      </c>
      <c r="CP70" s="742">
        <f t="shared" si="61"/>
        <v>20682</v>
      </c>
      <c r="CQ70" s="803">
        <f t="shared" si="62"/>
        <v>41795</v>
      </c>
      <c r="CR70" s="755">
        <f t="shared" si="63"/>
        <v>41795.05</v>
      </c>
      <c r="CS70" s="742">
        <f aca="true" t="shared" si="111" ref="CS70:DD70">CS71+CS74+CS75</f>
        <v>0</v>
      </c>
      <c r="CT70" s="803">
        <f t="shared" si="111"/>
        <v>0</v>
      </c>
      <c r="CU70" s="755">
        <f t="shared" si="111"/>
        <v>0</v>
      </c>
      <c r="CV70" s="742">
        <f>CV71+CV74+CV75</f>
        <v>0</v>
      </c>
      <c r="CW70" s="803">
        <f>CW71+CW74+CW75</f>
        <v>0</v>
      </c>
      <c r="CX70" s="755">
        <f>CX71+CX74+CX75</f>
        <v>0</v>
      </c>
      <c r="CY70" s="742">
        <f t="shared" si="111"/>
        <v>0</v>
      </c>
      <c r="CZ70" s="803">
        <f t="shared" si="111"/>
        <v>0</v>
      </c>
      <c r="DA70" s="755">
        <f t="shared" si="111"/>
        <v>0</v>
      </c>
      <c r="DB70" s="742">
        <f t="shared" si="111"/>
        <v>0</v>
      </c>
      <c r="DC70" s="803">
        <f t="shared" si="111"/>
        <v>0</v>
      </c>
      <c r="DD70" s="755">
        <f t="shared" si="111"/>
        <v>0</v>
      </c>
      <c r="DE70" s="742">
        <f t="shared" si="102"/>
        <v>0</v>
      </c>
      <c r="DF70" s="803">
        <f t="shared" si="103"/>
        <v>0</v>
      </c>
      <c r="DG70" s="755">
        <f t="shared" si="104"/>
        <v>0</v>
      </c>
      <c r="DH70" s="742">
        <f aca="true" t="shared" si="112" ref="DH70:DP70">DH71+DH74+DH75</f>
        <v>0</v>
      </c>
      <c r="DI70" s="803">
        <f t="shared" si="112"/>
        <v>0</v>
      </c>
      <c r="DJ70" s="755">
        <f t="shared" si="112"/>
        <v>0</v>
      </c>
      <c r="DK70" s="742">
        <f t="shared" si="112"/>
        <v>0</v>
      </c>
      <c r="DL70" s="803">
        <f t="shared" si="112"/>
        <v>0</v>
      </c>
      <c r="DM70" s="755">
        <f t="shared" si="112"/>
        <v>0</v>
      </c>
      <c r="DN70" s="742">
        <f t="shared" si="112"/>
        <v>20682</v>
      </c>
      <c r="DO70" s="803">
        <f t="shared" si="112"/>
        <v>41795</v>
      </c>
      <c r="DP70" s="755">
        <f t="shared" si="112"/>
        <v>41795.05</v>
      </c>
      <c r="DQ70" s="824">
        <f t="shared" si="93"/>
        <v>100.00011963153487</v>
      </c>
      <c r="DR70" s="643"/>
      <c r="DS70" s="643"/>
      <c r="DT70" s="643"/>
      <c r="DU70" s="643"/>
      <c r="DV70" s="643"/>
      <c r="DW70" s="643"/>
      <c r="DX70" s="643"/>
      <c r="DY70" s="643"/>
      <c r="DZ70" s="643"/>
      <c r="EA70" s="643"/>
      <c r="EB70" s="643"/>
      <c r="EC70" s="643"/>
      <c r="ED70" s="643"/>
      <c r="EE70" s="643"/>
      <c r="EF70" s="643"/>
      <c r="EG70" s="643"/>
      <c r="EH70" s="643"/>
      <c r="EI70" s="643"/>
      <c r="EJ70" s="643"/>
      <c r="EK70" s="643"/>
      <c r="EL70" s="643"/>
      <c r="EM70" s="643"/>
      <c r="EN70" s="643"/>
      <c r="EO70" s="643"/>
      <c r="EP70" s="643"/>
      <c r="EQ70" s="643"/>
      <c r="ER70" s="643"/>
      <c r="ES70" s="643"/>
      <c r="ET70" s="643"/>
      <c r="EU70" s="643"/>
      <c r="EV70" s="643"/>
      <c r="EW70" s="643"/>
      <c r="EX70" s="643"/>
      <c r="EY70" s="643"/>
      <c r="EZ70" s="643"/>
      <c r="FA70" s="643"/>
      <c r="FB70" s="643"/>
      <c r="FC70" s="643"/>
      <c r="FD70" s="643"/>
      <c r="FE70" s="643"/>
      <c r="FF70" s="643"/>
      <c r="FG70" s="643"/>
      <c r="FH70" s="643"/>
      <c r="FI70" s="643"/>
      <c r="FJ70" s="643"/>
      <c r="FK70" s="643"/>
      <c r="FL70" s="643"/>
      <c r="FM70" s="643"/>
      <c r="FN70" s="643"/>
      <c r="FO70" s="643"/>
      <c r="FP70" s="643"/>
      <c r="FQ70" s="643"/>
      <c r="FR70" s="643"/>
      <c r="FS70" s="643"/>
      <c r="FT70" s="643"/>
      <c r="FU70" s="643"/>
      <c r="FV70" s="643"/>
      <c r="FW70" s="643"/>
      <c r="FX70" s="643"/>
      <c r="FY70" s="643"/>
      <c r="FZ70" s="643"/>
      <c r="GA70" s="643"/>
      <c r="GB70" s="643"/>
      <c r="GC70" s="643"/>
      <c r="GD70" s="643"/>
      <c r="GE70" s="643"/>
      <c r="GF70" s="643"/>
      <c r="GG70" s="643"/>
      <c r="GH70" s="643"/>
      <c r="GI70" s="643"/>
      <c r="GJ70" s="643"/>
      <c r="GK70" s="643"/>
      <c r="GL70" s="643"/>
      <c r="GM70" s="643"/>
      <c r="GN70" s="643"/>
      <c r="GO70" s="643"/>
      <c r="GP70" s="643"/>
      <c r="GQ70" s="643"/>
      <c r="GR70" s="643"/>
      <c r="GS70" s="643"/>
      <c r="GT70" s="643"/>
      <c r="GU70" s="643"/>
      <c r="GV70" s="643"/>
      <c r="GW70" s="643"/>
      <c r="GX70" s="643"/>
      <c r="GY70" s="643"/>
      <c r="GZ70" s="643"/>
      <c r="HA70" s="643"/>
      <c r="HB70" s="643"/>
      <c r="HC70" s="643"/>
      <c r="HD70" s="643"/>
      <c r="HE70" s="643"/>
      <c r="HF70" s="643"/>
      <c r="HG70" s="643"/>
      <c r="HH70" s="643"/>
      <c r="HI70" s="643"/>
      <c r="HJ70" s="643"/>
      <c r="HK70" s="643"/>
      <c r="HL70" s="643"/>
      <c r="HM70" s="643"/>
      <c r="HN70" s="643"/>
      <c r="HO70" s="643"/>
      <c r="HP70" s="643"/>
      <c r="HQ70" s="643"/>
      <c r="HR70" s="643"/>
      <c r="HS70" s="643"/>
      <c r="HT70" s="643"/>
      <c r="HU70" s="643"/>
      <c r="HV70" s="643"/>
      <c r="HW70" s="643"/>
      <c r="HX70" s="643"/>
    </row>
    <row r="71" spans="1:218" ht="12.75" customHeight="1">
      <c r="A71" s="724"/>
      <c r="B71" s="715" t="s">
        <v>336</v>
      </c>
      <c r="C71" s="1962"/>
      <c r="D71" s="746">
        <f>D72+D73</f>
        <v>0</v>
      </c>
      <c r="E71" s="807">
        <f>E72+E73</f>
        <v>0</v>
      </c>
      <c r="F71" s="759">
        <f aca="true" t="shared" si="113" ref="F71:BN71">F72+F73</f>
        <v>0</v>
      </c>
      <c r="G71" s="746">
        <f t="shared" si="113"/>
        <v>0</v>
      </c>
      <c r="H71" s="807">
        <f t="shared" si="113"/>
        <v>0</v>
      </c>
      <c r="I71" s="759">
        <f t="shared" si="113"/>
        <v>0</v>
      </c>
      <c r="J71" s="746">
        <f t="shared" si="113"/>
        <v>0</v>
      </c>
      <c r="K71" s="807">
        <f t="shared" si="113"/>
        <v>0</v>
      </c>
      <c r="L71" s="759">
        <f t="shared" si="113"/>
        <v>0</v>
      </c>
      <c r="M71" s="746">
        <f t="shared" si="113"/>
        <v>0</v>
      </c>
      <c r="N71" s="807">
        <f t="shared" si="113"/>
        <v>0</v>
      </c>
      <c r="O71" s="759">
        <f t="shared" si="113"/>
        <v>0</v>
      </c>
      <c r="P71" s="746">
        <f t="shared" si="113"/>
        <v>0</v>
      </c>
      <c r="Q71" s="807">
        <f t="shared" si="113"/>
        <v>0</v>
      </c>
      <c r="R71" s="759">
        <f t="shared" si="113"/>
        <v>0</v>
      </c>
      <c r="S71" s="746">
        <f t="shared" si="113"/>
        <v>0</v>
      </c>
      <c r="T71" s="807">
        <f t="shared" si="113"/>
        <v>0</v>
      </c>
      <c r="U71" s="759">
        <f t="shared" si="113"/>
        <v>0</v>
      </c>
      <c r="V71" s="746">
        <f t="shared" si="113"/>
        <v>0</v>
      </c>
      <c r="W71" s="807">
        <f t="shared" si="113"/>
        <v>0</v>
      </c>
      <c r="X71" s="759">
        <f t="shared" si="113"/>
        <v>0</v>
      </c>
      <c r="Y71" s="746">
        <f t="shared" si="113"/>
        <v>0</v>
      </c>
      <c r="Z71" s="807">
        <f t="shared" si="113"/>
        <v>0</v>
      </c>
      <c r="AA71" s="759">
        <f t="shared" si="113"/>
        <v>0</v>
      </c>
      <c r="AB71" s="746">
        <f t="shared" si="113"/>
        <v>0</v>
      </c>
      <c r="AC71" s="807">
        <f t="shared" si="113"/>
        <v>0</v>
      </c>
      <c r="AD71" s="759">
        <f t="shared" si="113"/>
        <v>0</v>
      </c>
      <c r="AE71" s="746">
        <f t="shared" si="113"/>
        <v>0</v>
      </c>
      <c r="AF71" s="807">
        <f t="shared" si="113"/>
        <v>0</v>
      </c>
      <c r="AG71" s="759">
        <f t="shared" si="113"/>
        <v>0</v>
      </c>
      <c r="AH71" s="746">
        <f t="shared" si="113"/>
        <v>0</v>
      </c>
      <c r="AI71" s="807">
        <f t="shared" si="113"/>
        <v>0</v>
      </c>
      <c r="AJ71" s="759">
        <f t="shared" si="113"/>
        <v>0</v>
      </c>
      <c r="AK71" s="746">
        <f t="shared" si="113"/>
        <v>0</v>
      </c>
      <c r="AL71" s="807">
        <f t="shared" si="113"/>
        <v>0</v>
      </c>
      <c r="AM71" s="759">
        <f t="shared" si="113"/>
        <v>0</v>
      </c>
      <c r="AN71" s="746">
        <f t="shared" si="113"/>
        <v>0</v>
      </c>
      <c r="AO71" s="807">
        <f t="shared" si="113"/>
        <v>0</v>
      </c>
      <c r="AP71" s="759">
        <f t="shared" si="113"/>
        <v>0</v>
      </c>
      <c r="AQ71" s="746">
        <f t="shared" si="113"/>
        <v>0</v>
      </c>
      <c r="AR71" s="807">
        <f t="shared" si="113"/>
        <v>0</v>
      </c>
      <c r="AS71" s="759">
        <f t="shared" si="113"/>
        <v>0</v>
      </c>
      <c r="AT71" s="746">
        <f t="shared" si="113"/>
        <v>0</v>
      </c>
      <c r="AU71" s="807">
        <f t="shared" si="113"/>
        <v>0</v>
      </c>
      <c r="AV71" s="759">
        <f t="shared" si="113"/>
        <v>0</v>
      </c>
      <c r="AW71" s="746">
        <f t="shared" si="113"/>
        <v>0</v>
      </c>
      <c r="AX71" s="807">
        <f t="shared" si="113"/>
        <v>0</v>
      </c>
      <c r="AY71" s="759">
        <f t="shared" si="113"/>
        <v>0</v>
      </c>
      <c r="AZ71" s="746">
        <f t="shared" si="113"/>
        <v>0</v>
      </c>
      <c r="BA71" s="807">
        <f t="shared" si="113"/>
        <v>0</v>
      </c>
      <c r="BB71" s="759">
        <f t="shared" si="113"/>
        <v>0</v>
      </c>
      <c r="BC71" s="746">
        <f t="shared" si="113"/>
        <v>0</v>
      </c>
      <c r="BD71" s="807">
        <f t="shared" si="113"/>
        <v>0</v>
      </c>
      <c r="BE71" s="759">
        <f t="shared" si="113"/>
        <v>0</v>
      </c>
      <c r="BF71" s="746">
        <f t="shared" si="113"/>
        <v>20682</v>
      </c>
      <c r="BG71" s="807">
        <f t="shared" si="113"/>
        <v>41795</v>
      </c>
      <c r="BH71" s="759">
        <f t="shared" si="113"/>
        <v>41795.05</v>
      </c>
      <c r="BI71" s="746">
        <f t="shared" si="113"/>
        <v>20682</v>
      </c>
      <c r="BJ71" s="807">
        <f t="shared" si="113"/>
        <v>41795</v>
      </c>
      <c r="BK71" s="759">
        <f t="shared" si="113"/>
        <v>41795.05</v>
      </c>
      <c r="BL71" s="746">
        <f t="shared" si="113"/>
        <v>0</v>
      </c>
      <c r="BM71" s="807">
        <f t="shared" si="113"/>
        <v>0</v>
      </c>
      <c r="BN71" s="759">
        <f t="shared" si="113"/>
        <v>0</v>
      </c>
      <c r="BO71" s="746">
        <f aca="true" t="shared" si="114" ref="BO71:CO71">BO72+BO73</f>
        <v>0</v>
      </c>
      <c r="BP71" s="807">
        <f t="shared" si="114"/>
        <v>0</v>
      </c>
      <c r="BQ71" s="759">
        <f t="shared" si="114"/>
        <v>0</v>
      </c>
      <c r="BR71" s="746">
        <f t="shared" si="114"/>
        <v>0</v>
      </c>
      <c r="BS71" s="807">
        <f t="shared" si="114"/>
        <v>0</v>
      </c>
      <c r="BT71" s="759">
        <f t="shared" si="114"/>
        <v>0</v>
      </c>
      <c r="BU71" s="746">
        <f t="shared" si="114"/>
        <v>0</v>
      </c>
      <c r="BV71" s="807">
        <f t="shared" si="114"/>
        <v>0</v>
      </c>
      <c r="BW71" s="759">
        <f t="shared" si="114"/>
        <v>0</v>
      </c>
      <c r="BX71" s="746">
        <f t="shared" si="114"/>
        <v>0</v>
      </c>
      <c r="BY71" s="807">
        <f t="shared" si="114"/>
        <v>0</v>
      </c>
      <c r="BZ71" s="759">
        <f t="shared" si="114"/>
        <v>0</v>
      </c>
      <c r="CA71" s="746">
        <f t="shared" si="114"/>
        <v>0</v>
      </c>
      <c r="CB71" s="807">
        <f t="shared" si="114"/>
        <v>0</v>
      </c>
      <c r="CC71" s="759">
        <f t="shared" si="114"/>
        <v>0</v>
      </c>
      <c r="CD71" s="746">
        <f t="shared" si="114"/>
        <v>0</v>
      </c>
      <c r="CE71" s="807">
        <f t="shared" si="114"/>
        <v>0</v>
      </c>
      <c r="CF71" s="759">
        <f t="shared" si="114"/>
        <v>0</v>
      </c>
      <c r="CG71" s="746">
        <f t="shared" si="114"/>
        <v>0</v>
      </c>
      <c r="CH71" s="807">
        <f t="shared" si="114"/>
        <v>0</v>
      </c>
      <c r="CI71" s="759">
        <f t="shared" si="114"/>
        <v>0</v>
      </c>
      <c r="CJ71" s="746">
        <f t="shared" si="114"/>
        <v>0</v>
      </c>
      <c r="CK71" s="807">
        <f t="shared" si="114"/>
        <v>0</v>
      </c>
      <c r="CL71" s="759">
        <f t="shared" si="114"/>
        <v>0</v>
      </c>
      <c r="CM71" s="746">
        <f t="shared" si="114"/>
        <v>0</v>
      </c>
      <c r="CN71" s="807">
        <f t="shared" si="114"/>
        <v>0</v>
      </c>
      <c r="CO71" s="759">
        <f t="shared" si="114"/>
        <v>0</v>
      </c>
      <c r="CP71" s="746">
        <f t="shared" si="61"/>
        <v>20682</v>
      </c>
      <c r="CQ71" s="807">
        <f t="shared" si="62"/>
        <v>41795</v>
      </c>
      <c r="CR71" s="759">
        <f t="shared" si="63"/>
        <v>41795.05</v>
      </c>
      <c r="CS71" s="746">
        <f aca="true" t="shared" si="115" ref="CS71:DA71">CS72+CS73</f>
        <v>0</v>
      </c>
      <c r="CT71" s="807">
        <f t="shared" si="115"/>
        <v>0</v>
      </c>
      <c r="CU71" s="759">
        <f t="shared" si="115"/>
        <v>0</v>
      </c>
      <c r="CV71" s="746">
        <f>CV72+CV73</f>
        <v>0</v>
      </c>
      <c r="CW71" s="807">
        <f>CW72+CW73</f>
        <v>0</v>
      </c>
      <c r="CX71" s="759">
        <f>CX72+CX73</f>
        <v>0</v>
      </c>
      <c r="CY71" s="746">
        <f t="shared" si="115"/>
        <v>0</v>
      </c>
      <c r="CZ71" s="807">
        <f t="shared" si="115"/>
        <v>0</v>
      </c>
      <c r="DA71" s="759">
        <f t="shared" si="115"/>
        <v>0</v>
      </c>
      <c r="DB71" s="746">
        <f>DB72+DB73</f>
        <v>0</v>
      </c>
      <c r="DC71" s="807">
        <f>DC72+DC73</f>
        <v>0</v>
      </c>
      <c r="DD71" s="759">
        <f>DD72+DD73</f>
        <v>0</v>
      </c>
      <c r="DE71" s="746">
        <f t="shared" si="102"/>
        <v>0</v>
      </c>
      <c r="DF71" s="807">
        <f t="shared" si="103"/>
        <v>0</v>
      </c>
      <c r="DG71" s="759">
        <f t="shared" si="104"/>
        <v>0</v>
      </c>
      <c r="DH71" s="746">
        <f aca="true" t="shared" si="116" ref="DH71:DP71">DH72+DH73</f>
        <v>0</v>
      </c>
      <c r="DI71" s="807">
        <f t="shared" si="116"/>
        <v>0</v>
      </c>
      <c r="DJ71" s="759">
        <f t="shared" si="116"/>
        <v>0</v>
      </c>
      <c r="DK71" s="746">
        <f t="shared" si="116"/>
        <v>0</v>
      </c>
      <c r="DL71" s="807">
        <f t="shared" si="116"/>
        <v>0</v>
      </c>
      <c r="DM71" s="759">
        <f t="shared" si="116"/>
        <v>0</v>
      </c>
      <c r="DN71" s="746">
        <f t="shared" si="116"/>
        <v>20682</v>
      </c>
      <c r="DO71" s="807">
        <f t="shared" si="116"/>
        <v>41795</v>
      </c>
      <c r="DP71" s="759">
        <f t="shared" si="116"/>
        <v>41795.05</v>
      </c>
      <c r="DQ71" s="827">
        <f aca="true" t="shared" si="117" ref="DQ71:DQ80">DP71/DO71*100</f>
        <v>100.00011963153487</v>
      </c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  <c r="HF71" s="154"/>
      <c r="HG71" s="154"/>
      <c r="HH71" s="154"/>
      <c r="HI71" s="154"/>
      <c r="HJ71" s="154"/>
    </row>
    <row r="72" spans="1:218" ht="12.75" customHeight="1">
      <c r="A72" s="724"/>
      <c r="B72" s="725" t="s">
        <v>103</v>
      </c>
      <c r="C72" s="1973" t="s">
        <v>183</v>
      </c>
      <c r="D72" s="744"/>
      <c r="E72" s="805"/>
      <c r="F72" s="757"/>
      <c r="G72" s="744"/>
      <c r="H72" s="805"/>
      <c r="I72" s="757"/>
      <c r="J72" s="744"/>
      <c r="K72" s="805"/>
      <c r="L72" s="757"/>
      <c r="M72" s="744"/>
      <c r="N72" s="805"/>
      <c r="O72" s="757"/>
      <c r="P72" s="744"/>
      <c r="Q72" s="805"/>
      <c r="R72" s="757"/>
      <c r="S72" s="744"/>
      <c r="T72" s="805"/>
      <c r="U72" s="757"/>
      <c r="V72" s="744"/>
      <c r="W72" s="805"/>
      <c r="X72" s="757"/>
      <c r="Y72" s="744"/>
      <c r="Z72" s="805"/>
      <c r="AA72" s="757"/>
      <c r="AB72" s="744"/>
      <c r="AC72" s="805"/>
      <c r="AD72" s="757"/>
      <c r="AE72" s="744"/>
      <c r="AF72" s="805"/>
      <c r="AG72" s="757"/>
      <c r="AH72" s="744"/>
      <c r="AI72" s="805"/>
      <c r="AJ72" s="757"/>
      <c r="AK72" s="744"/>
      <c r="AL72" s="805"/>
      <c r="AM72" s="757"/>
      <c r="AN72" s="744"/>
      <c r="AO72" s="805"/>
      <c r="AP72" s="757"/>
      <c r="AQ72" s="744"/>
      <c r="AR72" s="805"/>
      <c r="AS72" s="757"/>
      <c r="AT72" s="744"/>
      <c r="AU72" s="805"/>
      <c r="AV72" s="757"/>
      <c r="AW72" s="744"/>
      <c r="AX72" s="805"/>
      <c r="AY72" s="757"/>
      <c r="AZ72" s="744"/>
      <c r="BA72" s="805"/>
      <c r="BB72" s="757"/>
      <c r="BC72" s="744"/>
      <c r="BD72" s="805"/>
      <c r="BE72" s="757"/>
      <c r="BF72" s="744">
        <v>20000</v>
      </c>
      <c r="BG72" s="805">
        <v>41113</v>
      </c>
      <c r="BH72" s="757">
        <v>41113.05</v>
      </c>
      <c r="BI72" s="744">
        <f aca="true" t="shared" si="118" ref="BI72:BI79">D72+G72+J72+M72+P72+S72+V72+Y72+AB72+AE72+AH72+AK72+AN72+AQ72+AT72+AW72+AZ72+BC72+BF72</f>
        <v>20000</v>
      </c>
      <c r="BJ72" s="805">
        <f aca="true" t="shared" si="119" ref="BJ72:BJ79">E72+H72+K72+N72+Q72+T72+W72+Z72+AC72+AF72+AI72+AL72+AO72+AR72+AU72+AX72+BA72+BD72+BG72</f>
        <v>41113</v>
      </c>
      <c r="BK72" s="757">
        <f aca="true" t="shared" si="120" ref="BK72:BK79">F72+I72+L72+O72+R72+U72+X72+AA72+AD72+AG72+AJ72+AM72+AP72+AS72+AV72+AY72+BB72+BE72+BH72</f>
        <v>41113.05</v>
      </c>
      <c r="BL72" s="744"/>
      <c r="BM72" s="805"/>
      <c r="BN72" s="757"/>
      <c r="BO72" s="744"/>
      <c r="BP72" s="805"/>
      <c r="BQ72" s="757"/>
      <c r="BR72" s="744"/>
      <c r="BS72" s="805"/>
      <c r="BT72" s="757"/>
      <c r="BU72" s="744"/>
      <c r="BV72" s="805"/>
      <c r="BW72" s="757"/>
      <c r="BX72" s="744"/>
      <c r="BY72" s="805"/>
      <c r="BZ72" s="757"/>
      <c r="CA72" s="744"/>
      <c r="CB72" s="805"/>
      <c r="CC72" s="757"/>
      <c r="CD72" s="744"/>
      <c r="CE72" s="805"/>
      <c r="CF72" s="757"/>
      <c r="CG72" s="744"/>
      <c r="CH72" s="805"/>
      <c r="CI72" s="757"/>
      <c r="CJ72" s="744"/>
      <c r="CK72" s="805"/>
      <c r="CL72" s="757"/>
      <c r="CM72" s="744">
        <f aca="true" t="shared" si="121" ref="CM72:CO79">BL72+BO72+BR72+BU72+BX72+CA72+CD72+CG72+CJ72</f>
        <v>0</v>
      </c>
      <c r="CN72" s="805">
        <f t="shared" si="121"/>
        <v>0</v>
      </c>
      <c r="CO72" s="757">
        <f t="shared" si="121"/>
        <v>0</v>
      </c>
      <c r="CP72" s="744">
        <f t="shared" si="61"/>
        <v>20000</v>
      </c>
      <c r="CQ72" s="805">
        <f t="shared" si="62"/>
        <v>41113</v>
      </c>
      <c r="CR72" s="757">
        <f t="shared" si="63"/>
        <v>41113.05</v>
      </c>
      <c r="CS72" s="744"/>
      <c r="CT72" s="805"/>
      <c r="CU72" s="757"/>
      <c r="CV72" s="744"/>
      <c r="CW72" s="805"/>
      <c r="CX72" s="757"/>
      <c r="CY72" s="744"/>
      <c r="CZ72" s="805"/>
      <c r="DA72" s="757"/>
      <c r="DB72" s="744"/>
      <c r="DC72" s="805"/>
      <c r="DD72" s="757"/>
      <c r="DE72" s="744">
        <f t="shared" si="102"/>
        <v>0</v>
      </c>
      <c r="DF72" s="805">
        <f t="shared" si="103"/>
        <v>0</v>
      </c>
      <c r="DG72" s="757">
        <f t="shared" si="104"/>
        <v>0</v>
      </c>
      <c r="DH72" s="744"/>
      <c r="DI72" s="805"/>
      <c r="DJ72" s="757"/>
      <c r="DK72" s="744"/>
      <c r="DL72" s="805"/>
      <c r="DM72" s="757"/>
      <c r="DN72" s="744">
        <f aca="true" t="shared" si="122" ref="DN72:DP75">CP72+DE72+DH72+DK72</f>
        <v>20000</v>
      </c>
      <c r="DO72" s="805">
        <f t="shared" si="122"/>
        <v>41113</v>
      </c>
      <c r="DP72" s="757">
        <f t="shared" si="122"/>
        <v>41113.05</v>
      </c>
      <c r="DQ72" s="825">
        <f t="shared" si="117"/>
        <v>100.00012161603387</v>
      </c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</row>
    <row r="73" spans="1:218" ht="12.75" customHeight="1">
      <c r="A73" s="724"/>
      <c r="B73" s="725" t="s">
        <v>104</v>
      </c>
      <c r="C73" s="1973">
        <v>933212</v>
      </c>
      <c r="D73" s="744"/>
      <c r="E73" s="805"/>
      <c r="F73" s="757"/>
      <c r="G73" s="744"/>
      <c r="H73" s="805"/>
      <c r="I73" s="757"/>
      <c r="J73" s="744"/>
      <c r="K73" s="805"/>
      <c r="L73" s="757"/>
      <c r="M73" s="744"/>
      <c r="N73" s="805"/>
      <c r="O73" s="757"/>
      <c r="P73" s="744"/>
      <c r="Q73" s="805"/>
      <c r="R73" s="757"/>
      <c r="S73" s="744"/>
      <c r="T73" s="805"/>
      <c r="U73" s="757"/>
      <c r="V73" s="744"/>
      <c r="W73" s="805"/>
      <c r="X73" s="757"/>
      <c r="Y73" s="744"/>
      <c r="Z73" s="805"/>
      <c r="AA73" s="757"/>
      <c r="AB73" s="744"/>
      <c r="AC73" s="805"/>
      <c r="AD73" s="757"/>
      <c r="AE73" s="744"/>
      <c r="AF73" s="805"/>
      <c r="AG73" s="757"/>
      <c r="AH73" s="744"/>
      <c r="AI73" s="805"/>
      <c r="AJ73" s="757"/>
      <c r="AK73" s="744"/>
      <c r="AL73" s="805"/>
      <c r="AM73" s="757"/>
      <c r="AN73" s="744"/>
      <c r="AO73" s="805"/>
      <c r="AP73" s="757"/>
      <c r="AQ73" s="744"/>
      <c r="AR73" s="805"/>
      <c r="AS73" s="757"/>
      <c r="AT73" s="744"/>
      <c r="AU73" s="805"/>
      <c r="AV73" s="757"/>
      <c r="AW73" s="744"/>
      <c r="AX73" s="805"/>
      <c r="AY73" s="757"/>
      <c r="AZ73" s="744"/>
      <c r="BA73" s="805"/>
      <c r="BB73" s="757"/>
      <c r="BC73" s="744"/>
      <c r="BD73" s="805"/>
      <c r="BE73" s="757"/>
      <c r="BF73" s="744">
        <v>682</v>
      </c>
      <c r="BG73" s="805">
        <v>682</v>
      </c>
      <c r="BH73" s="757">
        <v>682</v>
      </c>
      <c r="BI73" s="744">
        <f t="shared" si="118"/>
        <v>682</v>
      </c>
      <c r="BJ73" s="805">
        <f t="shared" si="119"/>
        <v>682</v>
      </c>
      <c r="BK73" s="757">
        <f t="shared" si="120"/>
        <v>682</v>
      </c>
      <c r="BL73" s="744"/>
      <c r="BM73" s="805"/>
      <c r="BN73" s="757"/>
      <c r="BO73" s="744"/>
      <c r="BP73" s="805"/>
      <c r="BQ73" s="757"/>
      <c r="BR73" s="744"/>
      <c r="BS73" s="805"/>
      <c r="BT73" s="757"/>
      <c r="BU73" s="744"/>
      <c r="BV73" s="805"/>
      <c r="BW73" s="757"/>
      <c r="BX73" s="744"/>
      <c r="BY73" s="805"/>
      <c r="BZ73" s="757"/>
      <c r="CA73" s="744"/>
      <c r="CB73" s="805"/>
      <c r="CC73" s="757"/>
      <c r="CD73" s="744"/>
      <c r="CE73" s="805"/>
      <c r="CF73" s="757"/>
      <c r="CG73" s="744"/>
      <c r="CH73" s="805"/>
      <c r="CI73" s="757"/>
      <c r="CJ73" s="744"/>
      <c r="CK73" s="805"/>
      <c r="CL73" s="757"/>
      <c r="CM73" s="744">
        <f t="shared" si="121"/>
        <v>0</v>
      </c>
      <c r="CN73" s="805">
        <f t="shared" si="121"/>
        <v>0</v>
      </c>
      <c r="CO73" s="757">
        <f t="shared" si="121"/>
        <v>0</v>
      </c>
      <c r="CP73" s="744">
        <f t="shared" si="61"/>
        <v>682</v>
      </c>
      <c r="CQ73" s="805">
        <f t="shared" si="62"/>
        <v>682</v>
      </c>
      <c r="CR73" s="757">
        <f t="shared" si="63"/>
        <v>682</v>
      </c>
      <c r="CS73" s="744"/>
      <c r="CT73" s="805"/>
      <c r="CU73" s="757"/>
      <c r="CV73" s="744"/>
      <c r="CW73" s="805"/>
      <c r="CX73" s="757"/>
      <c r="CY73" s="744"/>
      <c r="CZ73" s="805"/>
      <c r="DA73" s="757"/>
      <c r="DB73" s="744"/>
      <c r="DC73" s="805"/>
      <c r="DD73" s="757"/>
      <c r="DE73" s="744">
        <f t="shared" si="102"/>
        <v>0</v>
      </c>
      <c r="DF73" s="805">
        <f t="shared" si="103"/>
        <v>0</v>
      </c>
      <c r="DG73" s="757">
        <f t="shared" si="104"/>
        <v>0</v>
      </c>
      <c r="DH73" s="744"/>
      <c r="DI73" s="805"/>
      <c r="DJ73" s="757"/>
      <c r="DK73" s="744"/>
      <c r="DL73" s="805"/>
      <c r="DM73" s="757"/>
      <c r="DN73" s="744">
        <f t="shared" si="122"/>
        <v>682</v>
      </c>
      <c r="DO73" s="805">
        <f t="shared" si="122"/>
        <v>682</v>
      </c>
      <c r="DP73" s="757">
        <f t="shared" si="122"/>
        <v>682</v>
      </c>
      <c r="DQ73" s="825">
        <f t="shared" si="117"/>
        <v>100</v>
      </c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  <c r="HF73" s="154"/>
      <c r="HG73" s="154"/>
      <c r="HH73" s="154"/>
      <c r="HI73" s="154"/>
      <c r="HJ73" s="154"/>
    </row>
    <row r="74" spans="1:232" s="147" customFormat="1" ht="12.75" customHeight="1">
      <c r="A74" s="724"/>
      <c r="B74" s="715" t="s">
        <v>105</v>
      </c>
      <c r="C74" s="1962" t="s">
        <v>206</v>
      </c>
      <c r="D74" s="744"/>
      <c r="E74" s="805"/>
      <c r="F74" s="757"/>
      <c r="G74" s="744"/>
      <c r="H74" s="805"/>
      <c r="I74" s="757"/>
      <c r="J74" s="744"/>
      <c r="K74" s="805"/>
      <c r="L74" s="757"/>
      <c r="M74" s="744"/>
      <c r="N74" s="805"/>
      <c r="O74" s="757"/>
      <c r="P74" s="744"/>
      <c r="Q74" s="805"/>
      <c r="R74" s="757"/>
      <c r="S74" s="744"/>
      <c r="T74" s="805"/>
      <c r="U74" s="757"/>
      <c r="V74" s="744"/>
      <c r="W74" s="805"/>
      <c r="X74" s="757"/>
      <c r="Y74" s="744"/>
      <c r="Z74" s="805"/>
      <c r="AA74" s="757"/>
      <c r="AB74" s="744"/>
      <c r="AC74" s="805"/>
      <c r="AD74" s="757"/>
      <c r="AE74" s="744"/>
      <c r="AF74" s="805"/>
      <c r="AG74" s="757"/>
      <c r="AH74" s="744"/>
      <c r="AI74" s="805"/>
      <c r="AJ74" s="757"/>
      <c r="AK74" s="744"/>
      <c r="AL74" s="805"/>
      <c r="AM74" s="757"/>
      <c r="AN74" s="744"/>
      <c r="AO74" s="805"/>
      <c r="AP74" s="757"/>
      <c r="AQ74" s="744"/>
      <c r="AR74" s="805"/>
      <c r="AS74" s="757"/>
      <c r="AT74" s="744"/>
      <c r="AU74" s="805"/>
      <c r="AV74" s="757"/>
      <c r="AW74" s="744"/>
      <c r="AX74" s="805"/>
      <c r="AY74" s="757"/>
      <c r="AZ74" s="744"/>
      <c r="BA74" s="805"/>
      <c r="BB74" s="757"/>
      <c r="BC74" s="744"/>
      <c r="BD74" s="805"/>
      <c r="BE74" s="757"/>
      <c r="BF74" s="744"/>
      <c r="BG74" s="805"/>
      <c r="BH74" s="757"/>
      <c r="BI74" s="744">
        <f t="shared" si="118"/>
        <v>0</v>
      </c>
      <c r="BJ74" s="805">
        <f t="shared" si="119"/>
        <v>0</v>
      </c>
      <c r="BK74" s="757">
        <f t="shared" si="120"/>
        <v>0</v>
      </c>
      <c r="BL74" s="744"/>
      <c r="BM74" s="805"/>
      <c r="BN74" s="757"/>
      <c r="BO74" s="744"/>
      <c r="BP74" s="805"/>
      <c r="BQ74" s="757"/>
      <c r="BR74" s="744"/>
      <c r="BS74" s="805"/>
      <c r="BT74" s="757"/>
      <c r="BU74" s="744"/>
      <c r="BV74" s="805"/>
      <c r="BW74" s="757"/>
      <c r="BX74" s="744"/>
      <c r="BY74" s="805"/>
      <c r="BZ74" s="757"/>
      <c r="CA74" s="744"/>
      <c r="CB74" s="805"/>
      <c r="CC74" s="757"/>
      <c r="CD74" s="744"/>
      <c r="CE74" s="805"/>
      <c r="CF74" s="757"/>
      <c r="CG74" s="744"/>
      <c r="CH74" s="805"/>
      <c r="CI74" s="757"/>
      <c r="CJ74" s="744"/>
      <c r="CK74" s="805"/>
      <c r="CL74" s="757"/>
      <c r="CM74" s="744">
        <f t="shared" si="121"/>
        <v>0</v>
      </c>
      <c r="CN74" s="805">
        <f t="shared" si="121"/>
        <v>0</v>
      </c>
      <c r="CO74" s="757">
        <f t="shared" si="121"/>
        <v>0</v>
      </c>
      <c r="CP74" s="744">
        <f t="shared" si="61"/>
        <v>0</v>
      </c>
      <c r="CQ74" s="805">
        <f t="shared" si="62"/>
        <v>0</v>
      </c>
      <c r="CR74" s="757">
        <f t="shared" si="63"/>
        <v>0</v>
      </c>
      <c r="CS74" s="744"/>
      <c r="CT74" s="805"/>
      <c r="CU74" s="757"/>
      <c r="CV74" s="744"/>
      <c r="CW74" s="805"/>
      <c r="CX74" s="757"/>
      <c r="CY74" s="744"/>
      <c r="CZ74" s="805"/>
      <c r="DA74" s="757"/>
      <c r="DB74" s="744"/>
      <c r="DC74" s="805"/>
      <c r="DD74" s="757"/>
      <c r="DE74" s="744">
        <f t="shared" si="102"/>
        <v>0</v>
      </c>
      <c r="DF74" s="805">
        <f t="shared" si="103"/>
        <v>0</v>
      </c>
      <c r="DG74" s="757">
        <f t="shared" si="104"/>
        <v>0</v>
      </c>
      <c r="DH74" s="744"/>
      <c r="DI74" s="805"/>
      <c r="DJ74" s="757"/>
      <c r="DK74" s="744"/>
      <c r="DL74" s="805"/>
      <c r="DM74" s="757"/>
      <c r="DN74" s="744">
        <f t="shared" si="122"/>
        <v>0</v>
      </c>
      <c r="DO74" s="805">
        <f t="shared" si="122"/>
        <v>0</v>
      </c>
      <c r="DP74" s="757">
        <f t="shared" si="122"/>
        <v>0</v>
      </c>
      <c r="DQ74" s="823">
        <v>0</v>
      </c>
      <c r="DR74" s="642"/>
      <c r="DS74" s="642"/>
      <c r="DT74" s="642"/>
      <c r="DU74" s="642"/>
      <c r="DV74" s="642"/>
      <c r="DW74" s="642"/>
      <c r="DX74" s="642"/>
      <c r="DY74" s="642"/>
      <c r="DZ74" s="642"/>
      <c r="EA74" s="642"/>
      <c r="EB74" s="642"/>
      <c r="EC74" s="642"/>
      <c r="ED74" s="642"/>
      <c r="EE74" s="642"/>
      <c r="EF74" s="642"/>
      <c r="EG74" s="642"/>
      <c r="EH74" s="642"/>
      <c r="EI74" s="642"/>
      <c r="EJ74" s="642"/>
      <c r="EK74" s="642"/>
      <c r="EL74" s="642"/>
      <c r="EM74" s="642"/>
      <c r="EN74" s="642"/>
      <c r="EO74" s="642"/>
      <c r="EP74" s="642"/>
      <c r="EQ74" s="642"/>
      <c r="ER74" s="642"/>
      <c r="ES74" s="642"/>
      <c r="ET74" s="642"/>
      <c r="EU74" s="642"/>
      <c r="EV74" s="642"/>
      <c r="EW74" s="642"/>
      <c r="EX74" s="642"/>
      <c r="EY74" s="642"/>
      <c r="EZ74" s="642"/>
      <c r="FA74" s="642"/>
      <c r="FB74" s="642"/>
      <c r="FC74" s="642"/>
      <c r="FD74" s="642"/>
      <c r="FE74" s="642"/>
      <c r="FF74" s="642"/>
      <c r="FG74" s="642"/>
      <c r="FH74" s="642"/>
      <c r="FI74" s="642"/>
      <c r="FJ74" s="642"/>
      <c r="FK74" s="642"/>
      <c r="FL74" s="642"/>
      <c r="FM74" s="642"/>
      <c r="FN74" s="642"/>
      <c r="FO74" s="642"/>
      <c r="FP74" s="642"/>
      <c r="FQ74" s="642"/>
      <c r="FR74" s="642"/>
      <c r="FS74" s="642"/>
      <c r="FT74" s="642"/>
      <c r="FU74" s="642"/>
      <c r="FV74" s="642"/>
      <c r="FW74" s="642"/>
      <c r="FX74" s="642"/>
      <c r="FY74" s="642"/>
      <c r="FZ74" s="642"/>
      <c r="GA74" s="642"/>
      <c r="GB74" s="642"/>
      <c r="GC74" s="642"/>
      <c r="GD74" s="642"/>
      <c r="GE74" s="642"/>
      <c r="GF74" s="642"/>
      <c r="GG74" s="642"/>
      <c r="GH74" s="642"/>
      <c r="GI74" s="642"/>
      <c r="GJ74" s="642"/>
      <c r="GK74" s="642"/>
      <c r="GL74" s="642"/>
      <c r="GM74" s="642"/>
      <c r="GN74" s="642"/>
      <c r="GO74" s="642"/>
      <c r="GP74" s="642"/>
      <c r="GQ74" s="642"/>
      <c r="GR74" s="642"/>
      <c r="GS74" s="642"/>
      <c r="GT74" s="642"/>
      <c r="GU74" s="642"/>
      <c r="GV74" s="642"/>
      <c r="GW74" s="642"/>
      <c r="GX74" s="642"/>
      <c r="GY74" s="642"/>
      <c r="GZ74" s="642"/>
      <c r="HA74" s="642"/>
      <c r="HB74" s="642"/>
      <c r="HC74" s="642"/>
      <c r="HD74" s="642"/>
      <c r="HE74" s="642"/>
      <c r="HF74" s="642"/>
      <c r="HG74" s="642"/>
      <c r="HH74" s="642"/>
      <c r="HI74" s="642"/>
      <c r="HJ74" s="642"/>
      <c r="HK74" s="642"/>
      <c r="HL74" s="642"/>
      <c r="HM74" s="642"/>
      <c r="HN74" s="642"/>
      <c r="HO74" s="642"/>
      <c r="HP74" s="642"/>
      <c r="HQ74" s="642"/>
      <c r="HR74" s="642"/>
      <c r="HS74" s="642"/>
      <c r="HT74" s="642"/>
      <c r="HU74" s="642"/>
      <c r="HV74" s="642"/>
      <c r="HW74" s="642"/>
      <c r="HX74" s="642"/>
    </row>
    <row r="75" spans="1:121" s="642" customFormat="1" ht="12.75" customHeight="1">
      <c r="A75" s="724"/>
      <c r="B75" s="715" t="s">
        <v>1103</v>
      </c>
      <c r="C75" s="1962" t="s">
        <v>207</v>
      </c>
      <c r="D75" s="744"/>
      <c r="E75" s="805"/>
      <c r="F75" s="757"/>
      <c r="G75" s="744"/>
      <c r="H75" s="805"/>
      <c r="I75" s="757"/>
      <c r="J75" s="744"/>
      <c r="K75" s="805"/>
      <c r="L75" s="757"/>
      <c r="M75" s="744"/>
      <c r="N75" s="805"/>
      <c r="O75" s="757"/>
      <c r="P75" s="744"/>
      <c r="Q75" s="805"/>
      <c r="R75" s="757"/>
      <c r="S75" s="744"/>
      <c r="T75" s="805"/>
      <c r="U75" s="757"/>
      <c r="V75" s="744"/>
      <c r="W75" s="805"/>
      <c r="X75" s="757"/>
      <c r="Y75" s="744"/>
      <c r="Z75" s="805"/>
      <c r="AA75" s="757"/>
      <c r="AB75" s="744"/>
      <c r="AC75" s="805"/>
      <c r="AD75" s="757"/>
      <c r="AE75" s="744"/>
      <c r="AF75" s="805"/>
      <c r="AG75" s="757"/>
      <c r="AH75" s="744"/>
      <c r="AI75" s="805"/>
      <c r="AJ75" s="757"/>
      <c r="AK75" s="744"/>
      <c r="AL75" s="805"/>
      <c r="AM75" s="757"/>
      <c r="AN75" s="744"/>
      <c r="AO75" s="805"/>
      <c r="AP75" s="757"/>
      <c r="AQ75" s="744"/>
      <c r="AR75" s="805"/>
      <c r="AS75" s="757"/>
      <c r="AT75" s="744"/>
      <c r="AU75" s="805"/>
      <c r="AV75" s="757"/>
      <c r="AW75" s="744"/>
      <c r="AX75" s="805"/>
      <c r="AY75" s="757"/>
      <c r="AZ75" s="744"/>
      <c r="BA75" s="805"/>
      <c r="BB75" s="757"/>
      <c r="BC75" s="744"/>
      <c r="BD75" s="805"/>
      <c r="BE75" s="757"/>
      <c r="BF75" s="744"/>
      <c r="BG75" s="805"/>
      <c r="BH75" s="757"/>
      <c r="BI75" s="744">
        <f t="shared" si="118"/>
        <v>0</v>
      </c>
      <c r="BJ75" s="805">
        <f t="shared" si="119"/>
        <v>0</v>
      </c>
      <c r="BK75" s="757">
        <f t="shared" si="120"/>
        <v>0</v>
      </c>
      <c r="BL75" s="744"/>
      <c r="BM75" s="805"/>
      <c r="BN75" s="757"/>
      <c r="BO75" s="744"/>
      <c r="BP75" s="805"/>
      <c r="BQ75" s="757"/>
      <c r="BR75" s="744"/>
      <c r="BS75" s="805"/>
      <c r="BT75" s="757"/>
      <c r="BU75" s="744"/>
      <c r="BV75" s="805"/>
      <c r="BW75" s="757"/>
      <c r="BX75" s="744"/>
      <c r="BY75" s="805"/>
      <c r="BZ75" s="757"/>
      <c r="CA75" s="744"/>
      <c r="CB75" s="805"/>
      <c r="CC75" s="757"/>
      <c r="CD75" s="744"/>
      <c r="CE75" s="805"/>
      <c r="CF75" s="757"/>
      <c r="CG75" s="744"/>
      <c r="CH75" s="805"/>
      <c r="CI75" s="757"/>
      <c r="CJ75" s="744"/>
      <c r="CK75" s="805"/>
      <c r="CL75" s="757"/>
      <c r="CM75" s="744">
        <f t="shared" si="121"/>
        <v>0</v>
      </c>
      <c r="CN75" s="805">
        <f t="shared" si="121"/>
        <v>0</v>
      </c>
      <c r="CO75" s="757">
        <f t="shared" si="121"/>
        <v>0</v>
      </c>
      <c r="CP75" s="744">
        <f t="shared" si="61"/>
        <v>0</v>
      </c>
      <c r="CQ75" s="805">
        <f t="shared" si="62"/>
        <v>0</v>
      </c>
      <c r="CR75" s="757">
        <f t="shared" si="63"/>
        <v>0</v>
      </c>
      <c r="CS75" s="744"/>
      <c r="CT75" s="805"/>
      <c r="CU75" s="757"/>
      <c r="CV75" s="744"/>
      <c r="CW75" s="805"/>
      <c r="CX75" s="757"/>
      <c r="CY75" s="744"/>
      <c r="CZ75" s="805"/>
      <c r="DA75" s="757"/>
      <c r="DB75" s="744"/>
      <c r="DC75" s="805"/>
      <c r="DD75" s="757"/>
      <c r="DE75" s="744">
        <f t="shared" si="102"/>
        <v>0</v>
      </c>
      <c r="DF75" s="805">
        <f t="shared" si="103"/>
        <v>0</v>
      </c>
      <c r="DG75" s="757">
        <f t="shared" si="104"/>
        <v>0</v>
      </c>
      <c r="DH75" s="744"/>
      <c r="DI75" s="805"/>
      <c r="DJ75" s="757"/>
      <c r="DK75" s="744"/>
      <c r="DL75" s="805"/>
      <c r="DM75" s="757"/>
      <c r="DN75" s="744">
        <f t="shared" si="122"/>
        <v>0</v>
      </c>
      <c r="DO75" s="805">
        <f t="shared" si="122"/>
        <v>0</v>
      </c>
      <c r="DP75" s="757">
        <f t="shared" si="122"/>
        <v>0</v>
      </c>
      <c r="DQ75" s="823">
        <v>0</v>
      </c>
    </row>
    <row r="76" spans="1:121" s="642" customFormat="1" ht="12.75" customHeight="1">
      <c r="A76" s="1954" t="s">
        <v>157</v>
      </c>
      <c r="B76" s="1955" t="s">
        <v>251</v>
      </c>
      <c r="C76" s="1969"/>
      <c r="D76" s="1482">
        <f aca="true" t="shared" si="123" ref="D76:BE76">SUM(D77:D79)</f>
        <v>0</v>
      </c>
      <c r="E76" s="1483">
        <f t="shared" si="123"/>
        <v>0</v>
      </c>
      <c r="F76" s="1119">
        <f t="shared" si="123"/>
        <v>0</v>
      </c>
      <c r="G76" s="1482">
        <f t="shared" si="123"/>
        <v>0</v>
      </c>
      <c r="H76" s="1483">
        <f t="shared" si="123"/>
        <v>0</v>
      </c>
      <c r="I76" s="1119">
        <f t="shared" si="123"/>
        <v>0</v>
      </c>
      <c r="J76" s="1482">
        <f t="shared" si="123"/>
        <v>0</v>
      </c>
      <c r="K76" s="1483">
        <f t="shared" si="123"/>
        <v>0</v>
      </c>
      <c r="L76" s="1119">
        <f t="shared" si="123"/>
        <v>0</v>
      </c>
      <c r="M76" s="1482">
        <f t="shared" si="123"/>
        <v>0</v>
      </c>
      <c r="N76" s="1483">
        <f t="shared" si="123"/>
        <v>0</v>
      </c>
      <c r="O76" s="1119">
        <f t="shared" si="123"/>
        <v>0</v>
      </c>
      <c r="P76" s="1482">
        <f t="shared" si="123"/>
        <v>0</v>
      </c>
      <c r="Q76" s="1483">
        <f t="shared" si="123"/>
        <v>0</v>
      </c>
      <c r="R76" s="1119">
        <f t="shared" si="123"/>
        <v>0</v>
      </c>
      <c r="S76" s="1482">
        <f t="shared" si="123"/>
        <v>0</v>
      </c>
      <c r="T76" s="1483">
        <f t="shared" si="123"/>
        <v>0</v>
      </c>
      <c r="U76" s="1119">
        <f t="shared" si="123"/>
        <v>0</v>
      </c>
      <c r="V76" s="1482">
        <f t="shared" si="123"/>
        <v>0</v>
      </c>
      <c r="W76" s="1483">
        <f t="shared" si="123"/>
        <v>0</v>
      </c>
      <c r="X76" s="1119">
        <f t="shared" si="123"/>
        <v>0</v>
      </c>
      <c r="Y76" s="1482">
        <f t="shared" si="123"/>
        <v>0</v>
      </c>
      <c r="Z76" s="1483">
        <f t="shared" si="123"/>
        <v>0</v>
      </c>
      <c r="AA76" s="1119">
        <f t="shared" si="123"/>
        <v>0</v>
      </c>
      <c r="AB76" s="1482">
        <f t="shared" si="123"/>
        <v>0</v>
      </c>
      <c r="AC76" s="1483">
        <f t="shared" si="123"/>
        <v>0</v>
      </c>
      <c r="AD76" s="1119">
        <f t="shared" si="123"/>
        <v>0</v>
      </c>
      <c r="AE76" s="1482">
        <f t="shared" si="123"/>
        <v>0</v>
      </c>
      <c r="AF76" s="1483">
        <f t="shared" si="123"/>
        <v>0</v>
      </c>
      <c r="AG76" s="1119">
        <f t="shared" si="123"/>
        <v>0</v>
      </c>
      <c r="AH76" s="1482">
        <f t="shared" si="123"/>
        <v>0</v>
      </c>
      <c r="AI76" s="1483">
        <f t="shared" si="123"/>
        <v>0</v>
      </c>
      <c r="AJ76" s="1119">
        <f t="shared" si="123"/>
        <v>0</v>
      </c>
      <c r="AK76" s="1482">
        <f t="shared" si="123"/>
        <v>0</v>
      </c>
      <c r="AL76" s="1483">
        <f t="shared" si="123"/>
        <v>0</v>
      </c>
      <c r="AM76" s="1119">
        <f t="shared" si="123"/>
        <v>0</v>
      </c>
      <c r="AN76" s="1482">
        <f t="shared" si="123"/>
        <v>0</v>
      </c>
      <c r="AO76" s="1483">
        <f t="shared" si="123"/>
        <v>0</v>
      </c>
      <c r="AP76" s="1119">
        <f t="shared" si="123"/>
        <v>0</v>
      </c>
      <c r="AQ76" s="1482">
        <f t="shared" si="123"/>
        <v>0</v>
      </c>
      <c r="AR76" s="1483">
        <f t="shared" si="123"/>
        <v>0</v>
      </c>
      <c r="AS76" s="1119">
        <f t="shared" si="123"/>
        <v>0</v>
      </c>
      <c r="AT76" s="1482">
        <f t="shared" si="123"/>
        <v>0</v>
      </c>
      <c r="AU76" s="1483">
        <f t="shared" si="123"/>
        <v>0</v>
      </c>
      <c r="AV76" s="1119">
        <f t="shared" si="123"/>
        <v>0</v>
      </c>
      <c r="AW76" s="1482">
        <f t="shared" si="123"/>
        <v>0</v>
      </c>
      <c r="AX76" s="1483">
        <f t="shared" si="123"/>
        <v>0</v>
      </c>
      <c r="AY76" s="1119">
        <f t="shared" si="123"/>
        <v>0</v>
      </c>
      <c r="AZ76" s="1482">
        <f t="shared" si="123"/>
        <v>0</v>
      </c>
      <c r="BA76" s="1483">
        <f t="shared" si="123"/>
        <v>0</v>
      </c>
      <c r="BB76" s="1119">
        <f t="shared" si="123"/>
        <v>0</v>
      </c>
      <c r="BC76" s="1482">
        <f t="shared" si="123"/>
        <v>0</v>
      </c>
      <c r="BD76" s="1483">
        <f t="shared" si="123"/>
        <v>0</v>
      </c>
      <c r="BE76" s="1119">
        <f t="shared" si="123"/>
        <v>0</v>
      </c>
      <c r="BF76" s="1482">
        <f>SUM(BF77:BF79)</f>
        <v>1500</v>
      </c>
      <c r="BG76" s="1483">
        <f>SUM(BG77:BG79)</f>
        <v>1500</v>
      </c>
      <c r="BH76" s="1119">
        <f>SUM(BH77:BH79)</f>
        <v>1500</v>
      </c>
      <c r="BI76" s="1482">
        <f t="shared" si="118"/>
        <v>1500</v>
      </c>
      <c r="BJ76" s="1483">
        <f t="shared" si="119"/>
        <v>1500</v>
      </c>
      <c r="BK76" s="1119">
        <f t="shared" si="120"/>
        <v>1500</v>
      </c>
      <c r="BL76" s="1482">
        <f aca="true" t="shared" si="124" ref="BL76:CL76">SUM(BL77:BL79)</f>
        <v>0</v>
      </c>
      <c r="BM76" s="1483">
        <f t="shared" si="124"/>
        <v>0</v>
      </c>
      <c r="BN76" s="1119">
        <f t="shared" si="124"/>
        <v>0</v>
      </c>
      <c r="BO76" s="1482">
        <f t="shared" si="124"/>
        <v>0</v>
      </c>
      <c r="BP76" s="1483">
        <f t="shared" si="124"/>
        <v>0</v>
      </c>
      <c r="BQ76" s="1119">
        <f t="shared" si="124"/>
        <v>0</v>
      </c>
      <c r="BR76" s="1482">
        <f t="shared" si="124"/>
        <v>0</v>
      </c>
      <c r="BS76" s="1483">
        <f t="shared" si="124"/>
        <v>0</v>
      </c>
      <c r="BT76" s="1119">
        <f t="shared" si="124"/>
        <v>0</v>
      </c>
      <c r="BU76" s="1482">
        <f t="shared" si="124"/>
        <v>0</v>
      </c>
      <c r="BV76" s="1483">
        <f t="shared" si="124"/>
        <v>0</v>
      </c>
      <c r="BW76" s="1119">
        <f t="shared" si="124"/>
        <v>0</v>
      </c>
      <c r="BX76" s="1482">
        <f t="shared" si="124"/>
        <v>0</v>
      </c>
      <c r="BY76" s="1483">
        <f t="shared" si="124"/>
        <v>0</v>
      </c>
      <c r="BZ76" s="1119">
        <f t="shared" si="124"/>
        <v>0</v>
      </c>
      <c r="CA76" s="1482">
        <f t="shared" si="124"/>
        <v>0</v>
      </c>
      <c r="CB76" s="1483">
        <f t="shared" si="124"/>
        <v>0</v>
      </c>
      <c r="CC76" s="1119">
        <f t="shared" si="124"/>
        <v>0</v>
      </c>
      <c r="CD76" s="1482">
        <f t="shared" si="124"/>
        <v>0</v>
      </c>
      <c r="CE76" s="1483">
        <f t="shared" si="124"/>
        <v>0</v>
      </c>
      <c r="CF76" s="1119">
        <f t="shared" si="124"/>
        <v>0</v>
      </c>
      <c r="CG76" s="1482">
        <f t="shared" si="124"/>
        <v>0</v>
      </c>
      <c r="CH76" s="1483">
        <f t="shared" si="124"/>
        <v>0</v>
      </c>
      <c r="CI76" s="1119">
        <f t="shared" si="124"/>
        <v>0</v>
      </c>
      <c r="CJ76" s="1482">
        <f t="shared" si="124"/>
        <v>23000</v>
      </c>
      <c r="CK76" s="1483">
        <f t="shared" si="124"/>
        <v>26860.09</v>
      </c>
      <c r="CL76" s="1119">
        <f t="shared" si="124"/>
        <v>27405</v>
      </c>
      <c r="CM76" s="1482">
        <f t="shared" si="121"/>
        <v>23000</v>
      </c>
      <c r="CN76" s="1483">
        <f t="shared" si="121"/>
        <v>26860.09</v>
      </c>
      <c r="CO76" s="1119">
        <f t="shared" si="121"/>
        <v>27405</v>
      </c>
      <c r="CP76" s="1482">
        <f t="shared" si="61"/>
        <v>24500</v>
      </c>
      <c r="CQ76" s="1483">
        <f t="shared" si="62"/>
        <v>28360.09</v>
      </c>
      <c r="CR76" s="1119">
        <f t="shared" si="63"/>
        <v>28905</v>
      </c>
      <c r="CS76" s="1482">
        <f aca="true" t="shared" si="125" ref="CS76:DM76">SUM(CS77:CS79)</f>
        <v>0</v>
      </c>
      <c r="CT76" s="1483">
        <f t="shared" si="125"/>
        <v>0</v>
      </c>
      <c r="CU76" s="1119">
        <f t="shared" si="125"/>
        <v>0</v>
      </c>
      <c r="CV76" s="1482">
        <f t="shared" si="125"/>
        <v>0</v>
      </c>
      <c r="CW76" s="1483">
        <f t="shared" si="125"/>
        <v>0</v>
      </c>
      <c r="CX76" s="1119">
        <f t="shared" si="125"/>
        <v>0</v>
      </c>
      <c r="CY76" s="1482">
        <f t="shared" si="125"/>
        <v>0</v>
      </c>
      <c r="CZ76" s="1483">
        <f t="shared" si="125"/>
        <v>0</v>
      </c>
      <c r="DA76" s="1119">
        <f t="shared" si="125"/>
        <v>0</v>
      </c>
      <c r="DB76" s="1482">
        <f t="shared" si="125"/>
        <v>1800</v>
      </c>
      <c r="DC76" s="1483">
        <f t="shared" si="125"/>
        <v>1800</v>
      </c>
      <c r="DD76" s="1119">
        <f t="shared" si="125"/>
        <v>1667</v>
      </c>
      <c r="DE76" s="1482">
        <f t="shared" si="125"/>
        <v>1800</v>
      </c>
      <c r="DF76" s="1483">
        <f t="shared" si="125"/>
        <v>1800</v>
      </c>
      <c r="DG76" s="1119">
        <f t="shared" si="125"/>
        <v>1667</v>
      </c>
      <c r="DH76" s="1482">
        <f t="shared" si="125"/>
        <v>0</v>
      </c>
      <c r="DI76" s="1483">
        <f t="shared" si="125"/>
        <v>0</v>
      </c>
      <c r="DJ76" s="1119">
        <f t="shared" si="125"/>
        <v>0</v>
      </c>
      <c r="DK76" s="1482">
        <f t="shared" si="125"/>
        <v>0</v>
      </c>
      <c r="DL76" s="1483">
        <f t="shared" si="125"/>
        <v>0</v>
      </c>
      <c r="DM76" s="1119">
        <f t="shared" si="125"/>
        <v>0</v>
      </c>
      <c r="DN76" s="1482">
        <f aca="true" t="shared" si="126" ref="DN76:DP79">CP76+DE76+DH76+DK76</f>
        <v>26300</v>
      </c>
      <c r="DO76" s="1483">
        <f t="shared" si="126"/>
        <v>30160.09</v>
      </c>
      <c r="DP76" s="1119">
        <f t="shared" si="126"/>
        <v>30572</v>
      </c>
      <c r="DQ76" s="824">
        <f>DP76/DO76*100</f>
        <v>101.36574526137024</v>
      </c>
    </row>
    <row r="77" spans="1:121" s="642" customFormat="1" ht="12.75" customHeight="1">
      <c r="A77" s="728"/>
      <c r="B77" s="773" t="s">
        <v>108</v>
      </c>
      <c r="C77" s="1969"/>
      <c r="D77" s="744"/>
      <c r="E77" s="805"/>
      <c r="F77" s="757"/>
      <c r="G77" s="744"/>
      <c r="H77" s="805"/>
      <c r="I77" s="757"/>
      <c r="J77" s="744"/>
      <c r="K77" s="805"/>
      <c r="L77" s="757"/>
      <c r="M77" s="744"/>
      <c r="N77" s="805"/>
      <c r="O77" s="757"/>
      <c r="P77" s="744"/>
      <c r="Q77" s="805"/>
      <c r="R77" s="757"/>
      <c r="S77" s="744"/>
      <c r="T77" s="805"/>
      <c r="U77" s="757"/>
      <c r="V77" s="744"/>
      <c r="W77" s="805"/>
      <c r="X77" s="757"/>
      <c r="Y77" s="744"/>
      <c r="Z77" s="805"/>
      <c r="AA77" s="757"/>
      <c r="AB77" s="744"/>
      <c r="AC77" s="805"/>
      <c r="AD77" s="757"/>
      <c r="AE77" s="744"/>
      <c r="AF77" s="805"/>
      <c r="AG77" s="757"/>
      <c r="AH77" s="744"/>
      <c r="AI77" s="805"/>
      <c r="AJ77" s="757"/>
      <c r="AK77" s="744"/>
      <c r="AL77" s="805"/>
      <c r="AM77" s="757"/>
      <c r="AN77" s="744"/>
      <c r="AO77" s="805"/>
      <c r="AP77" s="757"/>
      <c r="AQ77" s="744"/>
      <c r="AR77" s="805"/>
      <c r="AS77" s="757"/>
      <c r="AT77" s="744"/>
      <c r="AU77" s="805"/>
      <c r="AV77" s="757"/>
      <c r="AW77" s="744"/>
      <c r="AX77" s="805"/>
      <c r="AY77" s="757"/>
      <c r="AZ77" s="744"/>
      <c r="BA77" s="805"/>
      <c r="BB77" s="757"/>
      <c r="BC77" s="744"/>
      <c r="BD77" s="805"/>
      <c r="BE77" s="757"/>
      <c r="BF77" s="744"/>
      <c r="BG77" s="805"/>
      <c r="BH77" s="757"/>
      <c r="BI77" s="744">
        <f t="shared" si="118"/>
        <v>0</v>
      </c>
      <c r="BJ77" s="805">
        <f t="shared" si="119"/>
        <v>0</v>
      </c>
      <c r="BK77" s="757">
        <f t="shared" si="120"/>
        <v>0</v>
      </c>
      <c r="BL77" s="744"/>
      <c r="BM77" s="805"/>
      <c r="BN77" s="757"/>
      <c r="BO77" s="744"/>
      <c r="BP77" s="805"/>
      <c r="BQ77" s="757"/>
      <c r="BR77" s="744"/>
      <c r="BS77" s="805"/>
      <c r="BT77" s="757"/>
      <c r="BU77" s="744"/>
      <c r="BV77" s="805"/>
      <c r="BW77" s="757"/>
      <c r="BX77" s="744"/>
      <c r="BY77" s="805"/>
      <c r="BZ77" s="757"/>
      <c r="CA77" s="744"/>
      <c r="CB77" s="805"/>
      <c r="CC77" s="757"/>
      <c r="CD77" s="744"/>
      <c r="CE77" s="805"/>
      <c r="CF77" s="757"/>
      <c r="CG77" s="744"/>
      <c r="CH77" s="805"/>
      <c r="CI77" s="757"/>
      <c r="CJ77" s="744">
        <v>20000</v>
      </c>
      <c r="CK77" s="805">
        <v>23860.09</v>
      </c>
      <c r="CL77" s="757">
        <v>23860</v>
      </c>
      <c r="CM77" s="744">
        <f t="shared" si="121"/>
        <v>20000</v>
      </c>
      <c r="CN77" s="805">
        <f t="shared" si="121"/>
        <v>23860.09</v>
      </c>
      <c r="CO77" s="757">
        <f t="shared" si="121"/>
        <v>23860</v>
      </c>
      <c r="CP77" s="744">
        <f t="shared" si="61"/>
        <v>20000</v>
      </c>
      <c r="CQ77" s="805">
        <f t="shared" si="62"/>
        <v>23860.09</v>
      </c>
      <c r="CR77" s="757">
        <f t="shared" si="63"/>
        <v>23860</v>
      </c>
      <c r="CS77" s="744"/>
      <c r="CT77" s="805"/>
      <c r="CU77" s="757"/>
      <c r="CV77" s="744"/>
      <c r="CW77" s="805"/>
      <c r="CX77" s="757"/>
      <c r="CY77" s="744"/>
      <c r="CZ77" s="805"/>
      <c r="DA77" s="757"/>
      <c r="DB77" s="744"/>
      <c r="DC77" s="805"/>
      <c r="DD77" s="757"/>
      <c r="DE77" s="744">
        <f aca="true" t="shared" si="127" ref="DE77:DG79">CS77+CV77+CY77+DB77</f>
        <v>0</v>
      </c>
      <c r="DF77" s="805">
        <f t="shared" si="127"/>
        <v>0</v>
      </c>
      <c r="DG77" s="757">
        <f t="shared" si="127"/>
        <v>0</v>
      </c>
      <c r="DH77" s="744"/>
      <c r="DI77" s="805"/>
      <c r="DJ77" s="757"/>
      <c r="DK77" s="744"/>
      <c r="DL77" s="805"/>
      <c r="DM77" s="757"/>
      <c r="DN77" s="744">
        <f t="shared" si="126"/>
        <v>20000</v>
      </c>
      <c r="DO77" s="805">
        <f t="shared" si="126"/>
        <v>23860.09</v>
      </c>
      <c r="DP77" s="757">
        <f t="shared" si="126"/>
        <v>23860</v>
      </c>
      <c r="DQ77" s="823">
        <f t="shared" si="117"/>
        <v>99.99962280108751</v>
      </c>
    </row>
    <row r="78" spans="1:121" s="642" customFormat="1" ht="12.75" customHeight="1">
      <c r="A78" s="728"/>
      <c r="B78" s="773" t="s">
        <v>109</v>
      </c>
      <c r="C78" s="1969"/>
      <c r="D78" s="744"/>
      <c r="E78" s="805"/>
      <c r="F78" s="757"/>
      <c r="G78" s="744"/>
      <c r="H78" s="805"/>
      <c r="I78" s="757"/>
      <c r="J78" s="744"/>
      <c r="K78" s="805"/>
      <c r="L78" s="757"/>
      <c r="M78" s="744"/>
      <c r="N78" s="805"/>
      <c r="O78" s="757"/>
      <c r="P78" s="744"/>
      <c r="Q78" s="805"/>
      <c r="R78" s="757"/>
      <c r="S78" s="744"/>
      <c r="T78" s="805"/>
      <c r="U78" s="757"/>
      <c r="V78" s="744"/>
      <c r="W78" s="805"/>
      <c r="X78" s="757"/>
      <c r="Y78" s="744"/>
      <c r="Z78" s="805"/>
      <c r="AA78" s="757"/>
      <c r="AB78" s="744"/>
      <c r="AC78" s="805"/>
      <c r="AD78" s="757"/>
      <c r="AE78" s="744"/>
      <c r="AF78" s="805"/>
      <c r="AG78" s="757"/>
      <c r="AH78" s="744"/>
      <c r="AI78" s="805"/>
      <c r="AJ78" s="757"/>
      <c r="AK78" s="744"/>
      <c r="AL78" s="805"/>
      <c r="AM78" s="757"/>
      <c r="AN78" s="744"/>
      <c r="AO78" s="805"/>
      <c r="AP78" s="757"/>
      <c r="AQ78" s="744"/>
      <c r="AR78" s="805"/>
      <c r="AS78" s="757"/>
      <c r="AT78" s="744"/>
      <c r="AU78" s="805"/>
      <c r="AV78" s="757"/>
      <c r="AW78" s="744"/>
      <c r="AX78" s="805"/>
      <c r="AY78" s="757"/>
      <c r="AZ78" s="744"/>
      <c r="BA78" s="805"/>
      <c r="BB78" s="757"/>
      <c r="BC78" s="744"/>
      <c r="BD78" s="805"/>
      <c r="BE78" s="757"/>
      <c r="BF78" s="744"/>
      <c r="BG78" s="805"/>
      <c r="BH78" s="757"/>
      <c r="BI78" s="744">
        <f t="shared" si="118"/>
        <v>0</v>
      </c>
      <c r="BJ78" s="805">
        <f t="shared" si="119"/>
        <v>0</v>
      </c>
      <c r="BK78" s="757">
        <f t="shared" si="120"/>
        <v>0</v>
      </c>
      <c r="BL78" s="744"/>
      <c r="BM78" s="805"/>
      <c r="BN78" s="757"/>
      <c r="BO78" s="744"/>
      <c r="BP78" s="805"/>
      <c r="BQ78" s="757"/>
      <c r="BR78" s="744"/>
      <c r="BS78" s="805"/>
      <c r="BT78" s="757"/>
      <c r="BU78" s="744"/>
      <c r="BV78" s="805"/>
      <c r="BW78" s="757"/>
      <c r="BX78" s="744"/>
      <c r="BY78" s="805"/>
      <c r="BZ78" s="757"/>
      <c r="CA78" s="744"/>
      <c r="CB78" s="805"/>
      <c r="CC78" s="757"/>
      <c r="CD78" s="744"/>
      <c r="CE78" s="805"/>
      <c r="CF78" s="757"/>
      <c r="CG78" s="744"/>
      <c r="CH78" s="805"/>
      <c r="CI78" s="757"/>
      <c r="CJ78" s="744">
        <v>3000</v>
      </c>
      <c r="CK78" s="805">
        <v>3000</v>
      </c>
      <c r="CL78" s="757">
        <v>3545</v>
      </c>
      <c r="CM78" s="744">
        <f t="shared" si="121"/>
        <v>3000</v>
      </c>
      <c r="CN78" s="805">
        <f t="shared" si="121"/>
        <v>3000</v>
      </c>
      <c r="CO78" s="757">
        <f t="shared" si="121"/>
        <v>3545</v>
      </c>
      <c r="CP78" s="744">
        <f t="shared" si="61"/>
        <v>3000</v>
      </c>
      <c r="CQ78" s="805">
        <f t="shared" si="62"/>
        <v>3000</v>
      </c>
      <c r="CR78" s="757">
        <f t="shared" si="63"/>
        <v>3545</v>
      </c>
      <c r="CS78" s="744"/>
      <c r="CT78" s="805"/>
      <c r="CU78" s="757"/>
      <c r="CV78" s="744"/>
      <c r="CW78" s="805"/>
      <c r="CX78" s="757"/>
      <c r="CY78" s="744"/>
      <c r="CZ78" s="805"/>
      <c r="DA78" s="757"/>
      <c r="DB78" s="744">
        <v>1800</v>
      </c>
      <c r="DC78" s="805">
        <v>1800</v>
      </c>
      <c r="DD78" s="757">
        <f>1668-1</f>
        <v>1667</v>
      </c>
      <c r="DE78" s="744">
        <f t="shared" si="127"/>
        <v>1800</v>
      </c>
      <c r="DF78" s="805">
        <f t="shared" si="127"/>
        <v>1800</v>
      </c>
      <c r="DG78" s="757">
        <f t="shared" si="127"/>
        <v>1667</v>
      </c>
      <c r="DH78" s="744"/>
      <c r="DI78" s="805"/>
      <c r="DJ78" s="757"/>
      <c r="DK78" s="744"/>
      <c r="DL78" s="805"/>
      <c r="DM78" s="757"/>
      <c r="DN78" s="744">
        <f t="shared" si="126"/>
        <v>4800</v>
      </c>
      <c r="DO78" s="805">
        <f t="shared" si="126"/>
        <v>4800</v>
      </c>
      <c r="DP78" s="757">
        <f t="shared" si="126"/>
        <v>5212</v>
      </c>
      <c r="DQ78" s="823">
        <f t="shared" si="117"/>
        <v>108.58333333333334</v>
      </c>
    </row>
    <row r="79" spans="1:121" s="642" customFormat="1" ht="12.75" customHeight="1">
      <c r="A79" s="1956"/>
      <c r="B79" s="1957" t="s">
        <v>110</v>
      </c>
      <c r="C79" s="1971"/>
      <c r="D79" s="1984"/>
      <c r="E79" s="805"/>
      <c r="F79" s="757"/>
      <c r="G79" s="1984"/>
      <c r="H79" s="805"/>
      <c r="I79" s="757"/>
      <c r="J79" s="1984"/>
      <c r="K79" s="805"/>
      <c r="L79" s="757"/>
      <c r="M79" s="1984"/>
      <c r="N79" s="805"/>
      <c r="O79" s="757"/>
      <c r="P79" s="1984"/>
      <c r="Q79" s="805"/>
      <c r="R79" s="757"/>
      <c r="S79" s="1984"/>
      <c r="T79" s="805"/>
      <c r="U79" s="757"/>
      <c r="V79" s="1984"/>
      <c r="W79" s="805"/>
      <c r="X79" s="757"/>
      <c r="Y79" s="1984"/>
      <c r="Z79" s="805"/>
      <c r="AA79" s="757"/>
      <c r="AB79" s="1984"/>
      <c r="AC79" s="805"/>
      <c r="AD79" s="757"/>
      <c r="AE79" s="1984"/>
      <c r="AF79" s="805"/>
      <c r="AG79" s="757"/>
      <c r="AH79" s="1984"/>
      <c r="AI79" s="805"/>
      <c r="AJ79" s="757"/>
      <c r="AK79" s="1984"/>
      <c r="AL79" s="805"/>
      <c r="AM79" s="757"/>
      <c r="AN79" s="1984"/>
      <c r="AO79" s="805"/>
      <c r="AP79" s="757"/>
      <c r="AQ79" s="1984"/>
      <c r="AR79" s="805"/>
      <c r="AS79" s="757"/>
      <c r="AT79" s="1984"/>
      <c r="AU79" s="805"/>
      <c r="AV79" s="757"/>
      <c r="AW79" s="1984"/>
      <c r="AX79" s="805"/>
      <c r="AY79" s="757"/>
      <c r="AZ79" s="1984"/>
      <c r="BA79" s="805"/>
      <c r="BB79" s="757"/>
      <c r="BC79" s="1984"/>
      <c r="BD79" s="805"/>
      <c r="BE79" s="757"/>
      <c r="BF79" s="1984">
        <v>1500</v>
      </c>
      <c r="BG79" s="805">
        <v>1500</v>
      </c>
      <c r="BH79" s="757">
        <v>1500</v>
      </c>
      <c r="BI79" s="1984">
        <f t="shared" si="118"/>
        <v>1500</v>
      </c>
      <c r="BJ79" s="805">
        <f t="shared" si="119"/>
        <v>1500</v>
      </c>
      <c r="BK79" s="757">
        <f t="shared" si="120"/>
        <v>1500</v>
      </c>
      <c r="BL79" s="744"/>
      <c r="BM79" s="805"/>
      <c r="BN79" s="757"/>
      <c r="BO79" s="744"/>
      <c r="BP79" s="805"/>
      <c r="BQ79" s="757"/>
      <c r="BR79" s="744"/>
      <c r="BS79" s="805"/>
      <c r="BT79" s="757"/>
      <c r="BU79" s="744"/>
      <c r="BV79" s="805"/>
      <c r="BW79" s="757"/>
      <c r="BX79" s="744"/>
      <c r="BY79" s="805"/>
      <c r="BZ79" s="757"/>
      <c r="CA79" s="744"/>
      <c r="CB79" s="805"/>
      <c r="CC79" s="757"/>
      <c r="CD79" s="744"/>
      <c r="CE79" s="805"/>
      <c r="CF79" s="757"/>
      <c r="CG79" s="744"/>
      <c r="CH79" s="805"/>
      <c r="CI79" s="757"/>
      <c r="CJ79" s="744"/>
      <c r="CK79" s="805"/>
      <c r="CL79" s="757"/>
      <c r="CM79" s="744">
        <f t="shared" si="121"/>
        <v>0</v>
      </c>
      <c r="CN79" s="805">
        <f t="shared" si="121"/>
        <v>0</v>
      </c>
      <c r="CO79" s="757">
        <f t="shared" si="121"/>
        <v>0</v>
      </c>
      <c r="CP79" s="744">
        <f t="shared" si="61"/>
        <v>1500</v>
      </c>
      <c r="CQ79" s="805">
        <f t="shared" si="62"/>
        <v>1500</v>
      </c>
      <c r="CR79" s="757">
        <f t="shared" si="63"/>
        <v>1500</v>
      </c>
      <c r="CS79" s="744"/>
      <c r="CT79" s="805"/>
      <c r="CU79" s="757"/>
      <c r="CV79" s="744"/>
      <c r="CW79" s="805"/>
      <c r="CX79" s="757"/>
      <c r="CY79" s="744"/>
      <c r="CZ79" s="805"/>
      <c r="DA79" s="757"/>
      <c r="DB79" s="744"/>
      <c r="DC79" s="805"/>
      <c r="DD79" s="757"/>
      <c r="DE79" s="744">
        <f t="shared" si="127"/>
        <v>0</v>
      </c>
      <c r="DF79" s="805">
        <f t="shared" si="127"/>
        <v>0</v>
      </c>
      <c r="DG79" s="757">
        <f t="shared" si="127"/>
        <v>0</v>
      </c>
      <c r="DH79" s="744"/>
      <c r="DI79" s="805"/>
      <c r="DJ79" s="757"/>
      <c r="DK79" s="744"/>
      <c r="DL79" s="805"/>
      <c r="DM79" s="757"/>
      <c r="DN79" s="744">
        <f t="shared" si="126"/>
        <v>1500</v>
      </c>
      <c r="DO79" s="805">
        <f t="shared" si="126"/>
        <v>1500</v>
      </c>
      <c r="DP79" s="757">
        <f t="shared" si="126"/>
        <v>1500</v>
      </c>
      <c r="DQ79" s="823">
        <f t="shared" si="117"/>
        <v>100</v>
      </c>
    </row>
    <row r="80" spans="1:218" ht="12.75" customHeight="1" thickBot="1">
      <c r="A80" s="723" t="s">
        <v>541</v>
      </c>
      <c r="B80" s="712" t="s">
        <v>107</v>
      </c>
      <c r="C80" s="1960"/>
      <c r="D80" s="742">
        <f>SUM(D81:D82)</f>
        <v>0</v>
      </c>
      <c r="E80" s="803">
        <f>SUM(E81:E82)</f>
        <v>0</v>
      </c>
      <c r="F80" s="755">
        <f aca="true" t="shared" si="128" ref="F80:BN80">SUM(F81:F82)</f>
        <v>0</v>
      </c>
      <c r="G80" s="742">
        <f t="shared" si="128"/>
        <v>0</v>
      </c>
      <c r="H80" s="803">
        <f t="shared" si="128"/>
        <v>0</v>
      </c>
      <c r="I80" s="755">
        <f t="shared" si="128"/>
        <v>0</v>
      </c>
      <c r="J80" s="742">
        <f t="shared" si="128"/>
        <v>0</v>
      </c>
      <c r="K80" s="803">
        <f t="shared" si="128"/>
        <v>0</v>
      </c>
      <c r="L80" s="755">
        <f t="shared" si="128"/>
        <v>0</v>
      </c>
      <c r="M80" s="742">
        <f t="shared" si="128"/>
        <v>0</v>
      </c>
      <c r="N80" s="803">
        <f t="shared" si="128"/>
        <v>0</v>
      </c>
      <c r="O80" s="755">
        <f t="shared" si="128"/>
        <v>0</v>
      </c>
      <c r="P80" s="742">
        <f t="shared" si="128"/>
        <v>0</v>
      </c>
      <c r="Q80" s="803">
        <f t="shared" si="128"/>
        <v>0</v>
      </c>
      <c r="R80" s="755">
        <f t="shared" si="128"/>
        <v>0</v>
      </c>
      <c r="S80" s="742">
        <f t="shared" si="128"/>
        <v>0</v>
      </c>
      <c r="T80" s="803">
        <f t="shared" si="128"/>
        <v>0</v>
      </c>
      <c r="U80" s="755">
        <f t="shared" si="128"/>
        <v>0</v>
      </c>
      <c r="V80" s="742">
        <f t="shared" si="128"/>
        <v>0</v>
      </c>
      <c r="W80" s="803">
        <f t="shared" si="128"/>
        <v>0</v>
      </c>
      <c r="X80" s="755">
        <f t="shared" si="128"/>
        <v>0</v>
      </c>
      <c r="Y80" s="742">
        <f t="shared" si="128"/>
        <v>0</v>
      </c>
      <c r="Z80" s="803">
        <f t="shared" si="128"/>
        <v>0</v>
      </c>
      <c r="AA80" s="755">
        <f t="shared" si="128"/>
        <v>0</v>
      </c>
      <c r="AB80" s="742">
        <f t="shared" si="128"/>
        <v>0</v>
      </c>
      <c r="AC80" s="803">
        <f t="shared" si="128"/>
        <v>0</v>
      </c>
      <c r="AD80" s="755">
        <f t="shared" si="128"/>
        <v>0</v>
      </c>
      <c r="AE80" s="742">
        <f t="shared" si="128"/>
        <v>0</v>
      </c>
      <c r="AF80" s="803">
        <f t="shared" si="128"/>
        <v>0</v>
      </c>
      <c r="AG80" s="755">
        <f t="shared" si="128"/>
        <v>0</v>
      </c>
      <c r="AH80" s="742">
        <f t="shared" si="128"/>
        <v>0</v>
      </c>
      <c r="AI80" s="803">
        <f t="shared" si="128"/>
        <v>0</v>
      </c>
      <c r="AJ80" s="755">
        <f t="shared" si="128"/>
        <v>0</v>
      </c>
      <c r="AK80" s="742">
        <f t="shared" si="128"/>
        <v>0</v>
      </c>
      <c r="AL80" s="803">
        <f t="shared" si="128"/>
        <v>0</v>
      </c>
      <c r="AM80" s="755">
        <f t="shared" si="128"/>
        <v>0</v>
      </c>
      <c r="AN80" s="742">
        <f t="shared" si="128"/>
        <v>0</v>
      </c>
      <c r="AO80" s="803">
        <f t="shared" si="128"/>
        <v>0</v>
      </c>
      <c r="AP80" s="755">
        <f t="shared" si="128"/>
        <v>0</v>
      </c>
      <c r="AQ80" s="742">
        <f t="shared" si="128"/>
        <v>0</v>
      </c>
      <c r="AR80" s="803">
        <f t="shared" si="128"/>
        <v>2000</v>
      </c>
      <c r="AS80" s="755">
        <f t="shared" si="128"/>
        <v>2000</v>
      </c>
      <c r="AT80" s="742">
        <f t="shared" si="128"/>
        <v>0</v>
      </c>
      <c r="AU80" s="803">
        <f t="shared" si="128"/>
        <v>0</v>
      </c>
      <c r="AV80" s="755">
        <f t="shared" si="128"/>
        <v>0</v>
      </c>
      <c r="AW80" s="742">
        <f t="shared" si="128"/>
        <v>0</v>
      </c>
      <c r="AX80" s="803">
        <f t="shared" si="128"/>
        <v>0</v>
      </c>
      <c r="AY80" s="755">
        <f t="shared" si="128"/>
        <v>0</v>
      </c>
      <c r="AZ80" s="742">
        <f t="shared" si="128"/>
        <v>0</v>
      </c>
      <c r="BA80" s="803">
        <f t="shared" si="128"/>
        <v>0</v>
      </c>
      <c r="BB80" s="755">
        <f t="shared" si="128"/>
        <v>0</v>
      </c>
      <c r="BC80" s="742">
        <f t="shared" si="128"/>
        <v>0</v>
      </c>
      <c r="BD80" s="803">
        <f t="shared" si="128"/>
        <v>0</v>
      </c>
      <c r="BE80" s="755">
        <f t="shared" si="128"/>
        <v>0</v>
      </c>
      <c r="BF80" s="742">
        <f t="shared" si="128"/>
        <v>0</v>
      </c>
      <c r="BG80" s="803">
        <f t="shared" si="128"/>
        <v>0</v>
      </c>
      <c r="BH80" s="755">
        <f t="shared" si="128"/>
        <v>0</v>
      </c>
      <c r="BI80" s="742">
        <f t="shared" si="128"/>
        <v>0</v>
      </c>
      <c r="BJ80" s="803">
        <f t="shared" si="128"/>
        <v>2000</v>
      </c>
      <c r="BK80" s="755">
        <f t="shared" si="128"/>
        <v>2000</v>
      </c>
      <c r="BL80" s="742">
        <f t="shared" si="128"/>
        <v>0</v>
      </c>
      <c r="BM80" s="803">
        <f t="shared" si="128"/>
        <v>0</v>
      </c>
      <c r="BN80" s="755">
        <f t="shared" si="128"/>
        <v>0</v>
      </c>
      <c r="BO80" s="742">
        <f aca="true" t="shared" si="129" ref="BO80:CO80">SUM(BO81:BO82)</f>
        <v>0</v>
      </c>
      <c r="BP80" s="803">
        <f t="shared" si="129"/>
        <v>0</v>
      </c>
      <c r="BQ80" s="755">
        <f t="shared" si="129"/>
        <v>0</v>
      </c>
      <c r="BR80" s="742">
        <f t="shared" si="129"/>
        <v>0</v>
      </c>
      <c r="BS80" s="803">
        <f t="shared" si="129"/>
        <v>0</v>
      </c>
      <c r="BT80" s="755">
        <f t="shared" si="129"/>
        <v>0</v>
      </c>
      <c r="BU80" s="742">
        <f t="shared" si="129"/>
        <v>0</v>
      </c>
      <c r="BV80" s="803">
        <f t="shared" si="129"/>
        <v>0</v>
      </c>
      <c r="BW80" s="755">
        <f t="shared" si="129"/>
        <v>0</v>
      </c>
      <c r="BX80" s="742">
        <f t="shared" si="129"/>
        <v>0</v>
      </c>
      <c r="BY80" s="803">
        <f t="shared" si="129"/>
        <v>0</v>
      </c>
      <c r="BZ80" s="755">
        <f t="shared" si="129"/>
        <v>0</v>
      </c>
      <c r="CA80" s="742">
        <f t="shared" si="129"/>
        <v>0</v>
      </c>
      <c r="CB80" s="803">
        <f t="shared" si="129"/>
        <v>0</v>
      </c>
      <c r="CC80" s="755">
        <f t="shared" si="129"/>
        <v>0</v>
      </c>
      <c r="CD80" s="742">
        <f t="shared" si="129"/>
        <v>0</v>
      </c>
      <c r="CE80" s="803">
        <f t="shared" si="129"/>
        <v>0</v>
      </c>
      <c r="CF80" s="755">
        <f t="shared" si="129"/>
        <v>0</v>
      </c>
      <c r="CG80" s="742">
        <f t="shared" si="129"/>
        <v>0</v>
      </c>
      <c r="CH80" s="803">
        <f t="shared" si="129"/>
        <v>0</v>
      </c>
      <c r="CI80" s="755">
        <f t="shared" si="129"/>
        <v>0</v>
      </c>
      <c r="CJ80" s="742">
        <f t="shared" si="129"/>
        <v>0</v>
      </c>
      <c r="CK80" s="803">
        <f t="shared" si="129"/>
        <v>2480.28</v>
      </c>
      <c r="CL80" s="755">
        <f t="shared" si="129"/>
        <v>2480</v>
      </c>
      <c r="CM80" s="742">
        <f t="shared" si="129"/>
        <v>0</v>
      </c>
      <c r="CN80" s="803">
        <f t="shared" si="129"/>
        <v>2480.28</v>
      </c>
      <c r="CO80" s="755">
        <f t="shared" si="129"/>
        <v>2480</v>
      </c>
      <c r="CP80" s="742">
        <f t="shared" si="61"/>
        <v>0</v>
      </c>
      <c r="CQ80" s="803">
        <f t="shared" si="62"/>
        <v>4480.280000000001</v>
      </c>
      <c r="CR80" s="755">
        <f t="shared" si="63"/>
        <v>4480</v>
      </c>
      <c r="CS80" s="742">
        <f aca="true" t="shared" si="130" ref="CS80:DA80">SUM(CS81:CS82)</f>
        <v>0</v>
      </c>
      <c r="CT80" s="803">
        <f t="shared" si="130"/>
        <v>0</v>
      </c>
      <c r="CU80" s="755">
        <f t="shared" si="130"/>
        <v>0</v>
      </c>
      <c r="CV80" s="742">
        <f>SUM(CV81:CV82)</f>
        <v>0</v>
      </c>
      <c r="CW80" s="803">
        <f>SUM(CW81:CW82)</f>
        <v>0</v>
      </c>
      <c r="CX80" s="755">
        <f>SUM(CX81:CX82)</f>
        <v>0</v>
      </c>
      <c r="CY80" s="742">
        <f t="shared" si="130"/>
        <v>0</v>
      </c>
      <c r="CZ80" s="803">
        <f t="shared" si="130"/>
        <v>0</v>
      </c>
      <c r="DA80" s="755">
        <f t="shared" si="130"/>
        <v>0</v>
      </c>
      <c r="DB80" s="742">
        <f aca="true" t="shared" si="131" ref="DB80:DG80">SUM(DB81:DB82)</f>
        <v>0</v>
      </c>
      <c r="DC80" s="803">
        <f t="shared" si="131"/>
        <v>0</v>
      </c>
      <c r="DD80" s="755">
        <f t="shared" si="131"/>
        <v>0</v>
      </c>
      <c r="DE80" s="742">
        <f t="shared" si="131"/>
        <v>0</v>
      </c>
      <c r="DF80" s="803">
        <f t="shared" si="131"/>
        <v>0</v>
      </c>
      <c r="DG80" s="755">
        <f t="shared" si="131"/>
        <v>0</v>
      </c>
      <c r="DH80" s="742">
        <f aca="true" t="shared" si="132" ref="DH80:DP80">SUM(DH81:DH82)</f>
        <v>0</v>
      </c>
      <c r="DI80" s="803">
        <f t="shared" si="132"/>
        <v>0</v>
      </c>
      <c r="DJ80" s="755">
        <f t="shared" si="132"/>
        <v>0</v>
      </c>
      <c r="DK80" s="742">
        <f t="shared" si="132"/>
        <v>0</v>
      </c>
      <c r="DL80" s="803">
        <f t="shared" si="132"/>
        <v>0</v>
      </c>
      <c r="DM80" s="755">
        <f t="shared" si="132"/>
        <v>0</v>
      </c>
      <c r="DN80" s="742">
        <f t="shared" si="132"/>
        <v>0</v>
      </c>
      <c r="DO80" s="803">
        <f t="shared" si="132"/>
        <v>4480.28</v>
      </c>
      <c r="DP80" s="755">
        <f t="shared" si="132"/>
        <v>4480</v>
      </c>
      <c r="DQ80" s="832">
        <f t="shared" si="117"/>
        <v>99.99375039060058</v>
      </c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</row>
    <row r="81" spans="1:232" s="150" customFormat="1" ht="12.75" customHeight="1" thickBot="1">
      <c r="A81" s="729" t="s">
        <v>482</v>
      </c>
      <c r="B81" s="730" t="s">
        <v>903</v>
      </c>
      <c r="C81" s="1975">
        <v>4712</v>
      </c>
      <c r="D81" s="1985"/>
      <c r="E81" s="808"/>
      <c r="F81" s="760"/>
      <c r="G81" s="1985"/>
      <c r="H81" s="808"/>
      <c r="I81" s="760"/>
      <c r="J81" s="1985"/>
      <c r="K81" s="808"/>
      <c r="L81" s="760"/>
      <c r="M81" s="1985"/>
      <c r="N81" s="808"/>
      <c r="O81" s="760"/>
      <c r="P81" s="1985"/>
      <c r="Q81" s="808"/>
      <c r="R81" s="760"/>
      <c r="S81" s="1985"/>
      <c r="T81" s="808"/>
      <c r="U81" s="760"/>
      <c r="V81" s="1985"/>
      <c r="W81" s="808"/>
      <c r="X81" s="760"/>
      <c r="Y81" s="1985"/>
      <c r="Z81" s="808"/>
      <c r="AA81" s="760"/>
      <c r="AB81" s="1985"/>
      <c r="AC81" s="808"/>
      <c r="AD81" s="760"/>
      <c r="AE81" s="1985"/>
      <c r="AF81" s="808"/>
      <c r="AG81" s="760"/>
      <c r="AH81" s="1985"/>
      <c r="AI81" s="808"/>
      <c r="AJ81" s="760"/>
      <c r="AK81" s="1985"/>
      <c r="AL81" s="808"/>
      <c r="AM81" s="760"/>
      <c r="AN81" s="1985"/>
      <c r="AO81" s="808"/>
      <c r="AP81" s="760"/>
      <c r="AQ81" s="1985"/>
      <c r="AR81" s="808">
        <v>2000</v>
      </c>
      <c r="AS81" s="760">
        <v>2000</v>
      </c>
      <c r="AT81" s="1985"/>
      <c r="AU81" s="808"/>
      <c r="AV81" s="760"/>
      <c r="AW81" s="1985"/>
      <c r="AX81" s="808"/>
      <c r="AY81" s="760"/>
      <c r="AZ81" s="1985"/>
      <c r="BA81" s="808"/>
      <c r="BB81" s="760"/>
      <c r="BC81" s="1985"/>
      <c r="BD81" s="808"/>
      <c r="BE81" s="760"/>
      <c r="BF81" s="1985"/>
      <c r="BG81" s="808"/>
      <c r="BH81" s="760"/>
      <c r="BI81" s="1985">
        <f aca="true" t="shared" si="133" ref="BI81:BK82">D81+G81+J81+M81+P81+S81+V81+Y81+AB81+AE81+AH81+AK81+AN81+AQ81+AT81+AW81+AZ81+BC81+BF81</f>
        <v>0</v>
      </c>
      <c r="BJ81" s="808">
        <f t="shared" si="133"/>
        <v>2000</v>
      </c>
      <c r="BK81" s="760">
        <f t="shared" si="133"/>
        <v>2000</v>
      </c>
      <c r="BL81" s="747"/>
      <c r="BM81" s="808"/>
      <c r="BN81" s="760"/>
      <c r="BO81" s="747"/>
      <c r="BP81" s="808"/>
      <c r="BQ81" s="760"/>
      <c r="BR81" s="747"/>
      <c r="BS81" s="808"/>
      <c r="BT81" s="760"/>
      <c r="BU81" s="747"/>
      <c r="BV81" s="808"/>
      <c r="BW81" s="760"/>
      <c r="BX81" s="747"/>
      <c r="BY81" s="808"/>
      <c r="BZ81" s="760"/>
      <c r="CA81" s="747"/>
      <c r="CB81" s="808"/>
      <c r="CC81" s="760"/>
      <c r="CD81" s="747"/>
      <c r="CE81" s="808"/>
      <c r="CF81" s="760"/>
      <c r="CG81" s="747"/>
      <c r="CH81" s="808"/>
      <c r="CI81" s="760"/>
      <c r="CJ81" s="747"/>
      <c r="CK81" s="808">
        <v>2400.875</v>
      </c>
      <c r="CL81" s="760">
        <v>2401</v>
      </c>
      <c r="CM81" s="747">
        <f aca="true" t="shared" si="134" ref="CM81:CO82">BL81+BO81+BR81+BU81+BX81+CA81+CD81+CG81+CJ81</f>
        <v>0</v>
      </c>
      <c r="CN81" s="808">
        <f t="shared" si="134"/>
        <v>2400.875</v>
      </c>
      <c r="CO81" s="760">
        <f t="shared" si="134"/>
        <v>2401</v>
      </c>
      <c r="CP81" s="747">
        <f t="shared" si="61"/>
        <v>0</v>
      </c>
      <c r="CQ81" s="808">
        <f t="shared" si="62"/>
        <v>4400.875</v>
      </c>
      <c r="CR81" s="760">
        <f t="shared" si="63"/>
        <v>4401</v>
      </c>
      <c r="CS81" s="747"/>
      <c r="CT81" s="808"/>
      <c r="CU81" s="760"/>
      <c r="CV81" s="747"/>
      <c r="CW81" s="808"/>
      <c r="CX81" s="760"/>
      <c r="CY81" s="747"/>
      <c r="CZ81" s="808"/>
      <c r="DA81" s="760"/>
      <c r="DB81" s="747"/>
      <c r="DC81" s="808"/>
      <c r="DD81" s="760"/>
      <c r="DE81" s="747">
        <f aca="true" t="shared" si="135" ref="DE81:DG82">CS81+CV81+CY81+DB81</f>
        <v>0</v>
      </c>
      <c r="DF81" s="808">
        <f t="shared" si="135"/>
        <v>0</v>
      </c>
      <c r="DG81" s="760">
        <f t="shared" si="135"/>
        <v>0</v>
      </c>
      <c r="DH81" s="747"/>
      <c r="DI81" s="808"/>
      <c r="DJ81" s="760"/>
      <c r="DK81" s="747"/>
      <c r="DL81" s="808"/>
      <c r="DM81" s="760"/>
      <c r="DN81" s="747">
        <f aca="true" t="shared" si="136" ref="DN81:DP82">CP81+DE81+DH81+DK81</f>
        <v>0</v>
      </c>
      <c r="DO81" s="808">
        <f t="shared" si="136"/>
        <v>4400.875</v>
      </c>
      <c r="DP81" s="760">
        <f t="shared" si="136"/>
        <v>4401</v>
      </c>
      <c r="DQ81" s="833">
        <f>DP81/DO81*100</f>
        <v>100.00284034424973</v>
      </c>
      <c r="DR81" s="644"/>
      <c r="DS81" s="644"/>
      <c r="DT81" s="644"/>
      <c r="DU81" s="644"/>
      <c r="DV81" s="644"/>
      <c r="DW81" s="644"/>
      <c r="DX81" s="644"/>
      <c r="DY81" s="644"/>
      <c r="DZ81" s="644"/>
      <c r="EA81" s="644"/>
      <c r="EB81" s="644"/>
      <c r="EC81" s="644"/>
      <c r="ED81" s="644"/>
      <c r="EE81" s="644"/>
      <c r="EF81" s="644"/>
      <c r="EG81" s="644"/>
      <c r="EH81" s="644"/>
      <c r="EI81" s="644"/>
      <c r="EJ81" s="644"/>
      <c r="EK81" s="644"/>
      <c r="EL81" s="644"/>
      <c r="EM81" s="644"/>
      <c r="EN81" s="644"/>
      <c r="EO81" s="644"/>
      <c r="EP81" s="644"/>
      <c r="EQ81" s="644"/>
      <c r="ER81" s="644"/>
      <c r="ES81" s="644"/>
      <c r="ET81" s="644"/>
      <c r="EU81" s="644"/>
      <c r="EV81" s="644"/>
      <c r="EW81" s="644"/>
      <c r="EX81" s="644"/>
      <c r="EY81" s="644"/>
      <c r="EZ81" s="644"/>
      <c r="FA81" s="644"/>
      <c r="FB81" s="644"/>
      <c r="FC81" s="644"/>
      <c r="FD81" s="644"/>
      <c r="FE81" s="644"/>
      <c r="FF81" s="644"/>
      <c r="FG81" s="644"/>
      <c r="FH81" s="644"/>
      <c r="FI81" s="644"/>
      <c r="FJ81" s="644"/>
      <c r="FK81" s="644"/>
      <c r="FL81" s="644"/>
      <c r="FM81" s="644"/>
      <c r="FN81" s="644"/>
      <c r="FO81" s="644"/>
      <c r="FP81" s="644"/>
      <c r="FQ81" s="644"/>
      <c r="FR81" s="644"/>
      <c r="FS81" s="644"/>
      <c r="FT81" s="644"/>
      <c r="FU81" s="644"/>
      <c r="FV81" s="644"/>
      <c r="FW81" s="644"/>
      <c r="FX81" s="644"/>
      <c r="FY81" s="644"/>
      <c r="FZ81" s="644"/>
      <c r="GA81" s="644"/>
      <c r="GB81" s="644"/>
      <c r="GC81" s="644"/>
      <c r="GD81" s="644"/>
      <c r="GE81" s="644"/>
      <c r="GF81" s="644"/>
      <c r="GG81" s="644"/>
      <c r="GH81" s="644"/>
      <c r="GI81" s="644"/>
      <c r="GJ81" s="644"/>
      <c r="GK81" s="644"/>
      <c r="GL81" s="644"/>
      <c r="GM81" s="644"/>
      <c r="GN81" s="644"/>
      <c r="GO81" s="644"/>
      <c r="GP81" s="644"/>
      <c r="GQ81" s="644"/>
      <c r="GR81" s="644"/>
      <c r="GS81" s="644"/>
      <c r="GT81" s="644"/>
      <c r="GU81" s="644"/>
      <c r="GV81" s="644"/>
      <c r="GW81" s="644"/>
      <c r="GX81" s="644"/>
      <c r="GY81" s="644"/>
      <c r="GZ81" s="644"/>
      <c r="HA81" s="644"/>
      <c r="HB81" s="644"/>
      <c r="HC81" s="644"/>
      <c r="HD81" s="644"/>
      <c r="HE81" s="644"/>
      <c r="HF81" s="644"/>
      <c r="HG81" s="644"/>
      <c r="HH81" s="644"/>
      <c r="HI81" s="644"/>
      <c r="HJ81" s="644"/>
      <c r="HK81" s="644"/>
      <c r="HL81" s="644"/>
      <c r="HM81" s="644"/>
      <c r="HN81" s="644"/>
      <c r="HO81" s="644"/>
      <c r="HP81" s="644"/>
      <c r="HQ81" s="644"/>
      <c r="HR81" s="644"/>
      <c r="HS81" s="644"/>
      <c r="HT81" s="644"/>
      <c r="HU81" s="644"/>
      <c r="HV81" s="644"/>
      <c r="HW81" s="644"/>
      <c r="HX81" s="644"/>
    </row>
    <row r="82" spans="1:232" s="136" customFormat="1" ht="12.75" customHeight="1">
      <c r="A82" s="729" t="s">
        <v>155</v>
      </c>
      <c r="B82" s="730" t="s">
        <v>553</v>
      </c>
      <c r="C82" s="1975">
        <v>4722</v>
      </c>
      <c r="D82" s="1985"/>
      <c r="E82" s="808"/>
      <c r="F82" s="760"/>
      <c r="G82" s="1985"/>
      <c r="H82" s="808"/>
      <c r="I82" s="760"/>
      <c r="J82" s="1985"/>
      <c r="K82" s="808"/>
      <c r="L82" s="760"/>
      <c r="M82" s="1985"/>
      <c r="N82" s="808"/>
      <c r="O82" s="760"/>
      <c r="P82" s="1985"/>
      <c r="Q82" s="808"/>
      <c r="R82" s="760"/>
      <c r="S82" s="1985"/>
      <c r="T82" s="808"/>
      <c r="U82" s="760"/>
      <c r="V82" s="1985"/>
      <c r="W82" s="808"/>
      <c r="X82" s="760"/>
      <c r="Y82" s="1985"/>
      <c r="Z82" s="808"/>
      <c r="AA82" s="760"/>
      <c r="AB82" s="1985"/>
      <c r="AC82" s="808"/>
      <c r="AD82" s="760"/>
      <c r="AE82" s="1985"/>
      <c r="AF82" s="808"/>
      <c r="AG82" s="760"/>
      <c r="AH82" s="1985"/>
      <c r="AI82" s="808"/>
      <c r="AJ82" s="760"/>
      <c r="AK82" s="1985"/>
      <c r="AL82" s="808"/>
      <c r="AM82" s="760"/>
      <c r="AN82" s="1985"/>
      <c r="AO82" s="808"/>
      <c r="AP82" s="760"/>
      <c r="AQ82" s="1985"/>
      <c r="AR82" s="808"/>
      <c r="AS82" s="760"/>
      <c r="AT82" s="1985"/>
      <c r="AU82" s="808"/>
      <c r="AV82" s="760"/>
      <c r="AW82" s="1985"/>
      <c r="AX82" s="808"/>
      <c r="AY82" s="760"/>
      <c r="AZ82" s="1985"/>
      <c r="BA82" s="808"/>
      <c r="BB82" s="760"/>
      <c r="BC82" s="1985"/>
      <c r="BD82" s="808"/>
      <c r="BE82" s="760"/>
      <c r="BF82" s="1985"/>
      <c r="BG82" s="808"/>
      <c r="BH82" s="760"/>
      <c r="BI82" s="1985">
        <f t="shared" si="133"/>
        <v>0</v>
      </c>
      <c r="BJ82" s="808">
        <f t="shared" si="133"/>
        <v>0</v>
      </c>
      <c r="BK82" s="760">
        <f t="shared" si="133"/>
        <v>0</v>
      </c>
      <c r="BL82" s="747"/>
      <c r="BM82" s="808"/>
      <c r="BN82" s="760"/>
      <c r="BO82" s="747"/>
      <c r="BP82" s="808"/>
      <c r="BQ82" s="760"/>
      <c r="BR82" s="747"/>
      <c r="BS82" s="808"/>
      <c r="BT82" s="760"/>
      <c r="BU82" s="747"/>
      <c r="BV82" s="808"/>
      <c r="BW82" s="760"/>
      <c r="BX82" s="747"/>
      <c r="BY82" s="808"/>
      <c r="BZ82" s="760"/>
      <c r="CA82" s="747"/>
      <c r="CB82" s="808"/>
      <c r="CC82" s="760"/>
      <c r="CD82" s="747"/>
      <c r="CE82" s="808"/>
      <c r="CF82" s="760"/>
      <c r="CG82" s="747"/>
      <c r="CH82" s="808"/>
      <c r="CI82" s="760"/>
      <c r="CJ82" s="747"/>
      <c r="CK82" s="808">
        <v>79.405</v>
      </c>
      <c r="CL82" s="760">
        <v>79</v>
      </c>
      <c r="CM82" s="747">
        <f t="shared" si="134"/>
        <v>0</v>
      </c>
      <c r="CN82" s="808">
        <f t="shared" si="134"/>
        <v>79.405</v>
      </c>
      <c r="CO82" s="760">
        <f t="shared" si="134"/>
        <v>79</v>
      </c>
      <c r="CP82" s="747">
        <f t="shared" si="61"/>
        <v>0</v>
      </c>
      <c r="CQ82" s="808">
        <f t="shared" si="62"/>
        <v>79.405</v>
      </c>
      <c r="CR82" s="760">
        <f t="shared" si="63"/>
        <v>79</v>
      </c>
      <c r="CS82" s="747"/>
      <c r="CT82" s="808"/>
      <c r="CU82" s="760"/>
      <c r="CV82" s="747"/>
      <c r="CW82" s="808"/>
      <c r="CX82" s="760"/>
      <c r="CY82" s="747"/>
      <c r="CZ82" s="808"/>
      <c r="DA82" s="760"/>
      <c r="DB82" s="747"/>
      <c r="DC82" s="808"/>
      <c r="DD82" s="760"/>
      <c r="DE82" s="747">
        <f t="shared" si="135"/>
        <v>0</v>
      </c>
      <c r="DF82" s="808">
        <f t="shared" si="135"/>
        <v>0</v>
      </c>
      <c r="DG82" s="760">
        <f t="shared" si="135"/>
        <v>0</v>
      </c>
      <c r="DH82" s="747"/>
      <c r="DI82" s="808"/>
      <c r="DJ82" s="760"/>
      <c r="DK82" s="747"/>
      <c r="DL82" s="808"/>
      <c r="DM82" s="760"/>
      <c r="DN82" s="747">
        <f t="shared" si="136"/>
        <v>0</v>
      </c>
      <c r="DO82" s="808">
        <f t="shared" si="136"/>
        <v>79.405</v>
      </c>
      <c r="DP82" s="760">
        <f t="shared" si="136"/>
        <v>79</v>
      </c>
      <c r="DQ82" s="833">
        <f>DP82/DO82*100</f>
        <v>99.48995655185442</v>
      </c>
      <c r="DR82" s="642"/>
      <c r="DS82" s="642"/>
      <c r="DT82" s="642"/>
      <c r="DU82" s="642"/>
      <c r="DV82" s="642"/>
      <c r="DW82" s="642"/>
      <c r="DX82" s="642"/>
      <c r="DY82" s="642"/>
      <c r="DZ82" s="642"/>
      <c r="EA82" s="642"/>
      <c r="EB82" s="642"/>
      <c r="EC82" s="642"/>
      <c r="ED82" s="642"/>
      <c r="EE82" s="642"/>
      <c r="EF82" s="642"/>
      <c r="EG82" s="642"/>
      <c r="EH82" s="642"/>
      <c r="EI82" s="642"/>
      <c r="EJ82" s="642"/>
      <c r="EK82" s="642"/>
      <c r="EL82" s="642"/>
      <c r="EM82" s="642"/>
      <c r="EN82" s="642"/>
      <c r="EO82" s="642"/>
      <c r="EP82" s="642"/>
      <c r="EQ82" s="642"/>
      <c r="ER82" s="642"/>
      <c r="ES82" s="642"/>
      <c r="ET82" s="642"/>
      <c r="EU82" s="642"/>
      <c r="EV82" s="642"/>
      <c r="EW82" s="642"/>
      <c r="EX82" s="642"/>
      <c r="EY82" s="642"/>
      <c r="EZ82" s="642"/>
      <c r="FA82" s="642"/>
      <c r="FB82" s="642"/>
      <c r="FC82" s="642"/>
      <c r="FD82" s="642"/>
      <c r="FE82" s="642"/>
      <c r="FF82" s="642"/>
      <c r="FG82" s="642"/>
      <c r="FH82" s="642"/>
      <c r="FI82" s="642"/>
      <c r="FJ82" s="642"/>
      <c r="FK82" s="642"/>
      <c r="FL82" s="642"/>
      <c r="FM82" s="642"/>
      <c r="FN82" s="642"/>
      <c r="FO82" s="642"/>
      <c r="FP82" s="642"/>
      <c r="FQ82" s="642"/>
      <c r="FR82" s="642"/>
      <c r="FS82" s="642"/>
      <c r="FT82" s="642"/>
      <c r="FU82" s="642"/>
      <c r="FV82" s="642"/>
      <c r="FW82" s="642"/>
      <c r="FX82" s="642"/>
      <c r="FY82" s="642"/>
      <c r="FZ82" s="642"/>
      <c r="GA82" s="642"/>
      <c r="GB82" s="642"/>
      <c r="GC82" s="642"/>
      <c r="GD82" s="642"/>
      <c r="GE82" s="642"/>
      <c r="GF82" s="642"/>
      <c r="GG82" s="642"/>
      <c r="GH82" s="642"/>
      <c r="GI82" s="642"/>
      <c r="GJ82" s="642"/>
      <c r="GK82" s="642"/>
      <c r="GL82" s="642"/>
      <c r="GM82" s="642"/>
      <c r="GN82" s="642"/>
      <c r="GO82" s="642"/>
      <c r="GP82" s="642"/>
      <c r="GQ82" s="642"/>
      <c r="GR82" s="642"/>
      <c r="GS82" s="642"/>
      <c r="GT82" s="642"/>
      <c r="GU82" s="642"/>
      <c r="GV82" s="642"/>
      <c r="GW82" s="642"/>
      <c r="GX82" s="642"/>
      <c r="GY82" s="642"/>
      <c r="GZ82" s="642"/>
      <c r="HA82" s="642"/>
      <c r="HB82" s="642"/>
      <c r="HC82" s="642"/>
      <c r="HD82" s="642"/>
      <c r="HE82" s="642"/>
      <c r="HF82" s="642"/>
      <c r="HG82" s="642"/>
      <c r="HH82" s="642"/>
      <c r="HI82" s="642"/>
      <c r="HJ82" s="642"/>
      <c r="HK82" s="642"/>
      <c r="HL82" s="642"/>
      <c r="HM82" s="642"/>
      <c r="HN82" s="642"/>
      <c r="HO82" s="642"/>
      <c r="HP82" s="642"/>
      <c r="HQ82" s="642"/>
      <c r="HR82" s="642"/>
      <c r="HS82" s="642"/>
      <c r="HT82" s="642"/>
      <c r="HU82" s="642"/>
      <c r="HV82" s="642"/>
      <c r="HW82" s="642"/>
      <c r="HX82" s="642"/>
    </row>
    <row r="83" spans="1:232" s="136" customFormat="1" ht="12.75" customHeight="1">
      <c r="A83" s="735" t="s">
        <v>904</v>
      </c>
      <c r="B83" s="902" t="s">
        <v>252</v>
      </c>
      <c r="C83" s="1975"/>
      <c r="D83" s="742">
        <f>SUM(D84:D85)</f>
        <v>0</v>
      </c>
      <c r="E83" s="811">
        <f aca="true" t="shared" si="137" ref="E83:BP83">SUM(E84:E85)</f>
        <v>0</v>
      </c>
      <c r="F83" s="904">
        <f t="shared" si="137"/>
        <v>0</v>
      </c>
      <c r="G83" s="742">
        <f t="shared" si="137"/>
        <v>0</v>
      </c>
      <c r="H83" s="811">
        <f t="shared" si="137"/>
        <v>0</v>
      </c>
      <c r="I83" s="904">
        <f t="shared" si="137"/>
        <v>0</v>
      </c>
      <c r="J83" s="742">
        <f t="shared" si="137"/>
        <v>0</v>
      </c>
      <c r="K83" s="811">
        <f t="shared" si="137"/>
        <v>0</v>
      </c>
      <c r="L83" s="904">
        <f t="shared" si="137"/>
        <v>0</v>
      </c>
      <c r="M83" s="742">
        <f t="shared" si="137"/>
        <v>0</v>
      </c>
      <c r="N83" s="811">
        <f t="shared" si="137"/>
        <v>0</v>
      </c>
      <c r="O83" s="904">
        <f t="shared" si="137"/>
        <v>0</v>
      </c>
      <c r="P83" s="742">
        <f t="shared" si="137"/>
        <v>0</v>
      </c>
      <c r="Q83" s="811">
        <f t="shared" si="137"/>
        <v>0</v>
      </c>
      <c r="R83" s="904">
        <f t="shared" si="137"/>
        <v>0</v>
      </c>
      <c r="S83" s="742">
        <f t="shared" si="137"/>
        <v>0</v>
      </c>
      <c r="T83" s="811">
        <f t="shared" si="137"/>
        <v>0</v>
      </c>
      <c r="U83" s="904">
        <f t="shared" si="137"/>
        <v>0</v>
      </c>
      <c r="V83" s="742">
        <f t="shared" si="137"/>
        <v>0</v>
      </c>
      <c r="W83" s="811">
        <f t="shared" si="137"/>
        <v>0</v>
      </c>
      <c r="X83" s="904">
        <f t="shared" si="137"/>
        <v>0</v>
      </c>
      <c r="Y83" s="742">
        <f t="shared" si="137"/>
        <v>0</v>
      </c>
      <c r="Z83" s="811">
        <f t="shared" si="137"/>
        <v>0</v>
      </c>
      <c r="AA83" s="904">
        <f t="shared" si="137"/>
        <v>0</v>
      </c>
      <c r="AB83" s="742">
        <f t="shared" si="137"/>
        <v>0</v>
      </c>
      <c r="AC83" s="811">
        <f t="shared" si="137"/>
        <v>0</v>
      </c>
      <c r="AD83" s="904">
        <f t="shared" si="137"/>
        <v>0</v>
      </c>
      <c r="AE83" s="742">
        <f t="shared" si="137"/>
        <v>0</v>
      </c>
      <c r="AF83" s="811">
        <f t="shared" si="137"/>
        <v>0</v>
      </c>
      <c r="AG83" s="904">
        <f t="shared" si="137"/>
        <v>0</v>
      </c>
      <c r="AH83" s="742">
        <f t="shared" si="137"/>
        <v>0</v>
      </c>
      <c r="AI83" s="811">
        <f t="shared" si="137"/>
        <v>0</v>
      </c>
      <c r="AJ83" s="904">
        <f t="shared" si="137"/>
        <v>0</v>
      </c>
      <c r="AK83" s="742">
        <f t="shared" si="137"/>
        <v>0</v>
      </c>
      <c r="AL83" s="811">
        <f t="shared" si="137"/>
        <v>0</v>
      </c>
      <c r="AM83" s="904">
        <f t="shared" si="137"/>
        <v>0</v>
      </c>
      <c r="AN83" s="742">
        <f t="shared" si="137"/>
        <v>0</v>
      </c>
      <c r="AO83" s="811">
        <f t="shared" si="137"/>
        <v>0</v>
      </c>
      <c r="AP83" s="904">
        <f t="shared" si="137"/>
        <v>0</v>
      </c>
      <c r="AQ83" s="742">
        <f t="shared" si="137"/>
        <v>0</v>
      </c>
      <c r="AR83" s="811">
        <f t="shared" si="137"/>
        <v>0</v>
      </c>
      <c r="AS83" s="904">
        <f t="shared" si="137"/>
        <v>0</v>
      </c>
      <c r="AT83" s="742">
        <f t="shared" si="137"/>
        <v>0</v>
      </c>
      <c r="AU83" s="811">
        <f t="shared" si="137"/>
        <v>0</v>
      </c>
      <c r="AV83" s="904">
        <f t="shared" si="137"/>
        <v>0</v>
      </c>
      <c r="AW83" s="742">
        <f t="shared" si="137"/>
        <v>0</v>
      </c>
      <c r="AX83" s="811">
        <f t="shared" si="137"/>
        <v>0</v>
      </c>
      <c r="AY83" s="904">
        <f t="shared" si="137"/>
        <v>0</v>
      </c>
      <c r="AZ83" s="742">
        <f t="shared" si="137"/>
        <v>0</v>
      </c>
      <c r="BA83" s="811">
        <f t="shared" si="137"/>
        <v>0</v>
      </c>
      <c r="BB83" s="904">
        <f t="shared" si="137"/>
        <v>0</v>
      </c>
      <c r="BC83" s="742">
        <f t="shared" si="137"/>
        <v>0</v>
      </c>
      <c r="BD83" s="811">
        <f t="shared" si="137"/>
        <v>0</v>
      </c>
      <c r="BE83" s="904">
        <f t="shared" si="137"/>
        <v>0</v>
      </c>
      <c r="BF83" s="742">
        <f t="shared" si="137"/>
        <v>0</v>
      </c>
      <c r="BG83" s="811">
        <f t="shared" si="137"/>
        <v>0</v>
      </c>
      <c r="BH83" s="904">
        <f t="shared" si="137"/>
        <v>0</v>
      </c>
      <c r="BI83" s="742">
        <f t="shared" si="137"/>
        <v>0</v>
      </c>
      <c r="BJ83" s="811">
        <f t="shared" si="137"/>
        <v>0</v>
      </c>
      <c r="BK83" s="904">
        <f t="shared" si="137"/>
        <v>0</v>
      </c>
      <c r="BL83" s="903">
        <f t="shared" si="137"/>
        <v>0</v>
      </c>
      <c r="BM83" s="811">
        <f t="shared" si="137"/>
        <v>0</v>
      </c>
      <c r="BN83" s="904">
        <f t="shared" si="137"/>
        <v>0</v>
      </c>
      <c r="BO83" s="903">
        <f t="shared" si="137"/>
        <v>0</v>
      </c>
      <c r="BP83" s="811">
        <f t="shared" si="137"/>
        <v>0</v>
      </c>
      <c r="BQ83" s="904">
        <f aca="true" t="shared" si="138" ref="BQ83:CO83">SUM(BQ84:BQ85)</f>
        <v>0</v>
      </c>
      <c r="BR83" s="903">
        <f t="shared" si="138"/>
        <v>0</v>
      </c>
      <c r="BS83" s="811">
        <f t="shared" si="138"/>
        <v>0</v>
      </c>
      <c r="BT83" s="904">
        <f t="shared" si="138"/>
        <v>0</v>
      </c>
      <c r="BU83" s="903">
        <f t="shared" si="138"/>
        <v>0</v>
      </c>
      <c r="BV83" s="811">
        <f t="shared" si="138"/>
        <v>0</v>
      </c>
      <c r="BW83" s="904">
        <f t="shared" si="138"/>
        <v>0</v>
      </c>
      <c r="BX83" s="903">
        <f t="shared" si="138"/>
        <v>0</v>
      </c>
      <c r="BY83" s="811">
        <f t="shared" si="138"/>
        <v>0</v>
      </c>
      <c r="BZ83" s="904">
        <f t="shared" si="138"/>
        <v>0</v>
      </c>
      <c r="CA83" s="903">
        <f t="shared" si="138"/>
        <v>0</v>
      </c>
      <c r="CB83" s="811">
        <f t="shared" si="138"/>
        <v>0</v>
      </c>
      <c r="CC83" s="904">
        <f t="shared" si="138"/>
        <v>0</v>
      </c>
      <c r="CD83" s="903">
        <f t="shared" si="138"/>
        <v>0</v>
      </c>
      <c r="CE83" s="811">
        <f t="shared" si="138"/>
        <v>0</v>
      </c>
      <c r="CF83" s="904">
        <f t="shared" si="138"/>
        <v>0</v>
      </c>
      <c r="CG83" s="903">
        <f t="shared" si="138"/>
        <v>0</v>
      </c>
      <c r="CH83" s="811">
        <f t="shared" si="138"/>
        <v>0</v>
      </c>
      <c r="CI83" s="904">
        <f t="shared" si="138"/>
        <v>0</v>
      </c>
      <c r="CJ83" s="903">
        <f t="shared" si="138"/>
        <v>0</v>
      </c>
      <c r="CK83" s="811">
        <f t="shared" si="138"/>
        <v>0</v>
      </c>
      <c r="CL83" s="904">
        <f t="shared" si="138"/>
        <v>0</v>
      </c>
      <c r="CM83" s="903">
        <f t="shared" si="138"/>
        <v>0</v>
      </c>
      <c r="CN83" s="811">
        <f t="shared" si="138"/>
        <v>0</v>
      </c>
      <c r="CO83" s="904">
        <f t="shared" si="138"/>
        <v>0</v>
      </c>
      <c r="CP83" s="903">
        <f t="shared" si="61"/>
        <v>0</v>
      </c>
      <c r="CQ83" s="811">
        <f t="shared" si="62"/>
        <v>0</v>
      </c>
      <c r="CR83" s="904">
        <f t="shared" si="63"/>
        <v>0</v>
      </c>
      <c r="CS83" s="903">
        <f aca="true" t="shared" si="139" ref="CS83:DP83">SUM(CS84:CS85)</f>
        <v>0</v>
      </c>
      <c r="CT83" s="811">
        <f t="shared" si="139"/>
        <v>0</v>
      </c>
      <c r="CU83" s="904">
        <f t="shared" si="139"/>
        <v>0</v>
      </c>
      <c r="CV83" s="903">
        <f>SUM(CV84:CV85)</f>
        <v>0</v>
      </c>
      <c r="CW83" s="811">
        <f>SUM(CW84:CW85)</f>
        <v>0</v>
      </c>
      <c r="CX83" s="904">
        <f>SUM(CX84:CX85)</f>
        <v>0</v>
      </c>
      <c r="CY83" s="903">
        <f t="shared" si="139"/>
        <v>0</v>
      </c>
      <c r="CZ83" s="811">
        <f t="shared" si="139"/>
        <v>0</v>
      </c>
      <c r="DA83" s="904">
        <f t="shared" si="139"/>
        <v>0</v>
      </c>
      <c r="DB83" s="903">
        <f t="shared" si="139"/>
        <v>0</v>
      </c>
      <c r="DC83" s="811">
        <f t="shared" si="139"/>
        <v>328336</v>
      </c>
      <c r="DD83" s="904">
        <f t="shared" si="139"/>
        <v>328336</v>
      </c>
      <c r="DE83" s="903">
        <f t="shared" si="139"/>
        <v>0</v>
      </c>
      <c r="DF83" s="811">
        <f t="shared" si="139"/>
        <v>328336</v>
      </c>
      <c r="DG83" s="904">
        <f t="shared" si="139"/>
        <v>328336</v>
      </c>
      <c r="DH83" s="903">
        <f t="shared" si="139"/>
        <v>0</v>
      </c>
      <c r="DI83" s="811">
        <f t="shared" si="139"/>
        <v>57587</v>
      </c>
      <c r="DJ83" s="904">
        <f t="shared" si="139"/>
        <v>57976</v>
      </c>
      <c r="DK83" s="903">
        <f t="shared" si="139"/>
        <v>0</v>
      </c>
      <c r="DL83" s="811">
        <f t="shared" si="139"/>
        <v>0</v>
      </c>
      <c r="DM83" s="904">
        <f t="shared" si="139"/>
        <v>0</v>
      </c>
      <c r="DN83" s="903">
        <f t="shared" si="139"/>
        <v>0</v>
      </c>
      <c r="DO83" s="811">
        <f t="shared" si="139"/>
        <v>385923</v>
      </c>
      <c r="DP83" s="904">
        <f t="shared" si="139"/>
        <v>386312</v>
      </c>
      <c r="DQ83" s="832">
        <f>DP83/DO83*100</f>
        <v>100.10079730930781</v>
      </c>
      <c r="DR83" s="642"/>
      <c r="DS83" s="642"/>
      <c r="DT83" s="642"/>
      <c r="DU83" s="642"/>
      <c r="DV83" s="642"/>
      <c r="DW83" s="642"/>
      <c r="DX83" s="642"/>
      <c r="DY83" s="642"/>
      <c r="DZ83" s="642"/>
      <c r="EA83" s="642"/>
      <c r="EB83" s="642"/>
      <c r="EC83" s="642"/>
      <c r="ED83" s="642"/>
      <c r="EE83" s="642"/>
      <c r="EF83" s="642"/>
      <c r="EG83" s="642"/>
      <c r="EH83" s="642"/>
      <c r="EI83" s="642"/>
      <c r="EJ83" s="642"/>
      <c r="EK83" s="642"/>
      <c r="EL83" s="642"/>
      <c r="EM83" s="642"/>
      <c r="EN83" s="642"/>
      <c r="EO83" s="642"/>
      <c r="EP83" s="642"/>
      <c r="EQ83" s="642"/>
      <c r="ER83" s="642"/>
      <c r="ES83" s="642"/>
      <c r="ET83" s="642"/>
      <c r="EU83" s="642"/>
      <c r="EV83" s="642"/>
      <c r="EW83" s="642"/>
      <c r="EX83" s="642"/>
      <c r="EY83" s="642"/>
      <c r="EZ83" s="642"/>
      <c r="FA83" s="642"/>
      <c r="FB83" s="642"/>
      <c r="FC83" s="642"/>
      <c r="FD83" s="642"/>
      <c r="FE83" s="642"/>
      <c r="FF83" s="642"/>
      <c r="FG83" s="642"/>
      <c r="FH83" s="642"/>
      <c r="FI83" s="642"/>
      <c r="FJ83" s="642"/>
      <c r="FK83" s="642"/>
      <c r="FL83" s="642"/>
      <c r="FM83" s="642"/>
      <c r="FN83" s="642"/>
      <c r="FO83" s="642"/>
      <c r="FP83" s="642"/>
      <c r="FQ83" s="642"/>
      <c r="FR83" s="642"/>
      <c r="FS83" s="642"/>
      <c r="FT83" s="642"/>
      <c r="FU83" s="642"/>
      <c r="FV83" s="642"/>
      <c r="FW83" s="642"/>
      <c r="FX83" s="642"/>
      <c r="FY83" s="642"/>
      <c r="FZ83" s="642"/>
      <c r="GA83" s="642"/>
      <c r="GB83" s="642"/>
      <c r="GC83" s="642"/>
      <c r="GD83" s="642"/>
      <c r="GE83" s="642"/>
      <c r="GF83" s="642"/>
      <c r="GG83" s="642"/>
      <c r="GH83" s="642"/>
      <c r="GI83" s="642"/>
      <c r="GJ83" s="642"/>
      <c r="GK83" s="642"/>
      <c r="GL83" s="642"/>
      <c r="GM83" s="642"/>
      <c r="GN83" s="642"/>
      <c r="GO83" s="642"/>
      <c r="GP83" s="642"/>
      <c r="GQ83" s="642"/>
      <c r="GR83" s="642"/>
      <c r="GS83" s="642"/>
      <c r="GT83" s="642"/>
      <c r="GU83" s="642"/>
      <c r="GV83" s="642"/>
      <c r="GW83" s="642"/>
      <c r="GX83" s="642"/>
      <c r="GY83" s="642"/>
      <c r="GZ83" s="642"/>
      <c r="HA83" s="642"/>
      <c r="HB83" s="642"/>
      <c r="HC83" s="642"/>
      <c r="HD83" s="642"/>
      <c r="HE83" s="642"/>
      <c r="HF83" s="642"/>
      <c r="HG83" s="642"/>
      <c r="HH83" s="642"/>
      <c r="HI83" s="642"/>
      <c r="HJ83" s="642"/>
      <c r="HK83" s="642"/>
      <c r="HL83" s="642"/>
      <c r="HM83" s="642"/>
      <c r="HN83" s="642"/>
      <c r="HO83" s="642"/>
      <c r="HP83" s="642"/>
      <c r="HQ83" s="642"/>
      <c r="HR83" s="642"/>
      <c r="HS83" s="642"/>
      <c r="HT83" s="642"/>
      <c r="HU83" s="642"/>
      <c r="HV83" s="642"/>
      <c r="HW83" s="642"/>
      <c r="HX83" s="642"/>
    </row>
    <row r="84" spans="1:232" s="136" customFormat="1" ht="12.75" customHeight="1">
      <c r="A84" s="735" t="s">
        <v>482</v>
      </c>
      <c r="B84" s="902" t="s">
        <v>253</v>
      </c>
      <c r="C84" s="1975"/>
      <c r="D84" s="1985"/>
      <c r="E84" s="808"/>
      <c r="F84" s="760"/>
      <c r="G84" s="1985"/>
      <c r="H84" s="808"/>
      <c r="I84" s="760"/>
      <c r="J84" s="1985"/>
      <c r="K84" s="808"/>
      <c r="L84" s="760"/>
      <c r="M84" s="1985"/>
      <c r="N84" s="808"/>
      <c r="O84" s="760"/>
      <c r="P84" s="1985"/>
      <c r="Q84" s="808"/>
      <c r="R84" s="760"/>
      <c r="S84" s="1985"/>
      <c r="T84" s="808"/>
      <c r="U84" s="760"/>
      <c r="V84" s="1985"/>
      <c r="W84" s="808"/>
      <c r="X84" s="760"/>
      <c r="Y84" s="1985"/>
      <c r="Z84" s="808"/>
      <c r="AA84" s="760"/>
      <c r="AB84" s="1985"/>
      <c r="AC84" s="808"/>
      <c r="AD84" s="760"/>
      <c r="AE84" s="1985"/>
      <c r="AF84" s="808"/>
      <c r="AG84" s="760"/>
      <c r="AH84" s="1985"/>
      <c r="AI84" s="808"/>
      <c r="AJ84" s="760"/>
      <c r="AK84" s="1985"/>
      <c r="AL84" s="808"/>
      <c r="AM84" s="760"/>
      <c r="AN84" s="1985"/>
      <c r="AO84" s="808"/>
      <c r="AP84" s="760"/>
      <c r="AQ84" s="1985"/>
      <c r="AR84" s="808"/>
      <c r="AS84" s="760"/>
      <c r="AT84" s="1985"/>
      <c r="AU84" s="808"/>
      <c r="AV84" s="760"/>
      <c r="AW84" s="1985"/>
      <c r="AX84" s="808"/>
      <c r="AY84" s="760"/>
      <c r="AZ84" s="1985"/>
      <c r="BA84" s="808"/>
      <c r="BB84" s="760"/>
      <c r="BC84" s="1985"/>
      <c r="BD84" s="808"/>
      <c r="BE84" s="760"/>
      <c r="BF84" s="1985"/>
      <c r="BG84" s="808"/>
      <c r="BH84" s="760"/>
      <c r="BI84" s="1985">
        <f aca="true" t="shared" si="140" ref="BI84:BK85">D84+G84+J84+M84+P84+S84+V84+Y84+AB84+AE84+AH84+AK84+AN84+AQ84+AT84+AW84+AZ84+BC84+BF84</f>
        <v>0</v>
      </c>
      <c r="BJ84" s="808">
        <f t="shared" si="140"/>
        <v>0</v>
      </c>
      <c r="BK84" s="760">
        <f t="shared" si="140"/>
        <v>0</v>
      </c>
      <c r="BL84" s="747"/>
      <c r="BM84" s="808"/>
      <c r="BN84" s="760"/>
      <c r="BO84" s="747"/>
      <c r="BP84" s="808"/>
      <c r="BQ84" s="760"/>
      <c r="BR84" s="747"/>
      <c r="BS84" s="808"/>
      <c r="BT84" s="760"/>
      <c r="BU84" s="747"/>
      <c r="BV84" s="808"/>
      <c r="BW84" s="760"/>
      <c r="BX84" s="747"/>
      <c r="BY84" s="808"/>
      <c r="BZ84" s="760"/>
      <c r="CA84" s="747"/>
      <c r="CB84" s="808"/>
      <c r="CC84" s="760"/>
      <c r="CD84" s="747"/>
      <c r="CE84" s="808"/>
      <c r="CF84" s="760"/>
      <c r="CG84" s="747"/>
      <c r="CH84" s="808"/>
      <c r="CI84" s="760"/>
      <c r="CJ84" s="747"/>
      <c r="CK84" s="808"/>
      <c r="CL84" s="760"/>
      <c r="CM84" s="747">
        <f aca="true" t="shared" si="141" ref="CM84:CO85">BL84+BO84+BR84+BU84+BX84+CA84+CD84+CG84+CJ84</f>
        <v>0</v>
      </c>
      <c r="CN84" s="808">
        <f t="shared" si="141"/>
        <v>0</v>
      </c>
      <c r="CO84" s="760">
        <f t="shared" si="141"/>
        <v>0</v>
      </c>
      <c r="CP84" s="747">
        <f t="shared" si="61"/>
        <v>0</v>
      </c>
      <c r="CQ84" s="808">
        <f t="shared" si="62"/>
        <v>0</v>
      </c>
      <c r="CR84" s="760">
        <f t="shared" si="63"/>
        <v>0</v>
      </c>
      <c r="CS84" s="747"/>
      <c r="CT84" s="808"/>
      <c r="CU84" s="760"/>
      <c r="CV84" s="747"/>
      <c r="CW84" s="808"/>
      <c r="CX84" s="760"/>
      <c r="CY84" s="747"/>
      <c r="CZ84" s="808"/>
      <c r="DA84" s="760"/>
      <c r="DB84" s="747"/>
      <c r="DC84" s="808">
        <v>296331</v>
      </c>
      <c r="DD84" s="760">
        <v>296331</v>
      </c>
      <c r="DE84" s="747">
        <f aca="true" t="shared" si="142" ref="DE84:DG85">CS84+CV84+CY84+DB84</f>
        <v>0</v>
      </c>
      <c r="DF84" s="808">
        <f t="shared" si="142"/>
        <v>296331</v>
      </c>
      <c r="DG84" s="760">
        <f t="shared" si="142"/>
        <v>296331</v>
      </c>
      <c r="DH84" s="747"/>
      <c r="DI84" s="808">
        <v>30913</v>
      </c>
      <c r="DJ84" s="760">
        <f>'6_sz_tábla B.'!L50</f>
        <v>32617</v>
      </c>
      <c r="DK84" s="747"/>
      <c r="DL84" s="808"/>
      <c r="DM84" s="760"/>
      <c r="DN84" s="747">
        <f aca="true" t="shared" si="143" ref="DN84:DP85">CP84+DE84+DH84+DK84</f>
        <v>0</v>
      </c>
      <c r="DO84" s="808">
        <f t="shared" si="143"/>
        <v>327244</v>
      </c>
      <c r="DP84" s="760">
        <f t="shared" si="143"/>
        <v>328948</v>
      </c>
      <c r="DQ84" s="833">
        <f>DP84/DO84*100</f>
        <v>100.52071237364169</v>
      </c>
      <c r="DR84" s="642"/>
      <c r="DS84" s="642"/>
      <c r="DT84" s="642"/>
      <c r="DU84" s="642"/>
      <c r="DV84" s="642"/>
      <c r="DW84" s="642"/>
      <c r="DX84" s="642"/>
      <c r="DY84" s="642"/>
      <c r="DZ84" s="642"/>
      <c r="EA84" s="642"/>
      <c r="EB84" s="642"/>
      <c r="EC84" s="642"/>
      <c r="ED84" s="642"/>
      <c r="EE84" s="642"/>
      <c r="EF84" s="642"/>
      <c r="EG84" s="642"/>
      <c r="EH84" s="642"/>
      <c r="EI84" s="642"/>
      <c r="EJ84" s="642"/>
      <c r="EK84" s="642"/>
      <c r="EL84" s="642"/>
      <c r="EM84" s="642"/>
      <c r="EN84" s="642"/>
      <c r="EO84" s="642"/>
      <c r="EP84" s="642"/>
      <c r="EQ84" s="642"/>
      <c r="ER84" s="642"/>
      <c r="ES84" s="642"/>
      <c r="ET84" s="642"/>
      <c r="EU84" s="642"/>
      <c r="EV84" s="642"/>
      <c r="EW84" s="642"/>
      <c r="EX84" s="642"/>
      <c r="EY84" s="642"/>
      <c r="EZ84" s="642"/>
      <c r="FA84" s="642"/>
      <c r="FB84" s="642"/>
      <c r="FC84" s="642"/>
      <c r="FD84" s="642"/>
      <c r="FE84" s="642"/>
      <c r="FF84" s="642"/>
      <c r="FG84" s="642"/>
      <c r="FH84" s="642"/>
      <c r="FI84" s="642"/>
      <c r="FJ84" s="642"/>
      <c r="FK84" s="642"/>
      <c r="FL84" s="642"/>
      <c r="FM84" s="642"/>
      <c r="FN84" s="642"/>
      <c r="FO84" s="642"/>
      <c r="FP84" s="642"/>
      <c r="FQ84" s="642"/>
      <c r="FR84" s="642"/>
      <c r="FS84" s="642"/>
      <c r="FT84" s="642"/>
      <c r="FU84" s="642"/>
      <c r="FV84" s="642"/>
      <c r="FW84" s="642"/>
      <c r="FX84" s="642"/>
      <c r="FY84" s="642"/>
      <c r="FZ84" s="642"/>
      <c r="GA84" s="642"/>
      <c r="GB84" s="642"/>
      <c r="GC84" s="642"/>
      <c r="GD84" s="642"/>
      <c r="GE84" s="642"/>
      <c r="GF84" s="642"/>
      <c r="GG84" s="642"/>
      <c r="GH84" s="642"/>
      <c r="GI84" s="642"/>
      <c r="GJ84" s="642"/>
      <c r="GK84" s="642"/>
      <c r="GL84" s="642"/>
      <c r="GM84" s="642"/>
      <c r="GN84" s="642"/>
      <c r="GO84" s="642"/>
      <c r="GP84" s="642"/>
      <c r="GQ84" s="642"/>
      <c r="GR84" s="642"/>
      <c r="GS84" s="642"/>
      <c r="GT84" s="642"/>
      <c r="GU84" s="642"/>
      <c r="GV84" s="642"/>
      <c r="GW84" s="642"/>
      <c r="GX84" s="642"/>
      <c r="GY84" s="642"/>
      <c r="GZ84" s="642"/>
      <c r="HA84" s="642"/>
      <c r="HB84" s="642"/>
      <c r="HC84" s="642"/>
      <c r="HD84" s="642"/>
      <c r="HE84" s="642"/>
      <c r="HF84" s="642"/>
      <c r="HG84" s="642"/>
      <c r="HH84" s="642"/>
      <c r="HI84" s="642"/>
      <c r="HJ84" s="642"/>
      <c r="HK84" s="642"/>
      <c r="HL84" s="642"/>
      <c r="HM84" s="642"/>
      <c r="HN84" s="642"/>
      <c r="HO84" s="642"/>
      <c r="HP84" s="642"/>
      <c r="HQ84" s="642"/>
      <c r="HR84" s="642"/>
      <c r="HS84" s="642"/>
      <c r="HT84" s="642"/>
      <c r="HU84" s="642"/>
      <c r="HV84" s="642"/>
      <c r="HW84" s="642"/>
      <c r="HX84" s="642"/>
    </row>
    <row r="85" spans="1:232" s="136" customFormat="1" ht="12.75" customHeight="1">
      <c r="A85" s="735" t="s">
        <v>155</v>
      </c>
      <c r="B85" s="902" t="s">
        <v>254</v>
      </c>
      <c r="C85" s="1975"/>
      <c r="D85" s="1985"/>
      <c r="E85" s="808"/>
      <c r="F85" s="760"/>
      <c r="G85" s="1985"/>
      <c r="H85" s="808"/>
      <c r="I85" s="760"/>
      <c r="J85" s="1985"/>
      <c r="K85" s="808"/>
      <c r="L85" s="760"/>
      <c r="M85" s="1985"/>
      <c r="N85" s="808"/>
      <c r="O85" s="760"/>
      <c r="P85" s="1985"/>
      <c r="Q85" s="808"/>
      <c r="R85" s="760"/>
      <c r="S85" s="1985"/>
      <c r="T85" s="808"/>
      <c r="U85" s="760"/>
      <c r="V85" s="1985"/>
      <c r="W85" s="808"/>
      <c r="X85" s="760"/>
      <c r="Y85" s="1985"/>
      <c r="Z85" s="808"/>
      <c r="AA85" s="760"/>
      <c r="AB85" s="1985"/>
      <c r="AC85" s="808"/>
      <c r="AD85" s="760"/>
      <c r="AE85" s="1985"/>
      <c r="AF85" s="808"/>
      <c r="AG85" s="760"/>
      <c r="AH85" s="1985"/>
      <c r="AI85" s="808"/>
      <c r="AJ85" s="760"/>
      <c r="AK85" s="1985"/>
      <c r="AL85" s="808"/>
      <c r="AM85" s="760"/>
      <c r="AN85" s="1985"/>
      <c r="AO85" s="808"/>
      <c r="AP85" s="760"/>
      <c r="AQ85" s="1985"/>
      <c r="AR85" s="808"/>
      <c r="AS85" s="760"/>
      <c r="AT85" s="1985"/>
      <c r="AU85" s="808"/>
      <c r="AV85" s="760"/>
      <c r="AW85" s="1985"/>
      <c r="AX85" s="808"/>
      <c r="AY85" s="760"/>
      <c r="AZ85" s="1985"/>
      <c r="BA85" s="808"/>
      <c r="BB85" s="760"/>
      <c r="BC85" s="1985"/>
      <c r="BD85" s="808"/>
      <c r="BE85" s="760"/>
      <c r="BF85" s="1985"/>
      <c r="BG85" s="808"/>
      <c r="BH85" s="760"/>
      <c r="BI85" s="1985">
        <f t="shared" si="140"/>
        <v>0</v>
      </c>
      <c r="BJ85" s="808">
        <f t="shared" si="140"/>
        <v>0</v>
      </c>
      <c r="BK85" s="760">
        <f t="shared" si="140"/>
        <v>0</v>
      </c>
      <c r="BL85" s="747"/>
      <c r="BM85" s="808"/>
      <c r="BN85" s="760"/>
      <c r="BO85" s="747"/>
      <c r="BP85" s="808"/>
      <c r="BQ85" s="760"/>
      <c r="BR85" s="747"/>
      <c r="BS85" s="808"/>
      <c r="BT85" s="760"/>
      <c r="BU85" s="747"/>
      <c r="BV85" s="808"/>
      <c r="BW85" s="760"/>
      <c r="BX85" s="747"/>
      <c r="BY85" s="808"/>
      <c r="BZ85" s="760"/>
      <c r="CA85" s="747"/>
      <c r="CB85" s="808"/>
      <c r="CC85" s="760"/>
      <c r="CD85" s="747"/>
      <c r="CE85" s="808"/>
      <c r="CF85" s="760"/>
      <c r="CG85" s="747"/>
      <c r="CH85" s="808"/>
      <c r="CI85" s="760"/>
      <c r="CJ85" s="747"/>
      <c r="CK85" s="808"/>
      <c r="CL85" s="760"/>
      <c r="CM85" s="747">
        <f t="shared" si="141"/>
        <v>0</v>
      </c>
      <c r="CN85" s="808">
        <f t="shared" si="141"/>
        <v>0</v>
      </c>
      <c r="CO85" s="760">
        <f t="shared" si="141"/>
        <v>0</v>
      </c>
      <c r="CP85" s="747">
        <f t="shared" si="61"/>
        <v>0</v>
      </c>
      <c r="CQ85" s="808">
        <f t="shared" si="62"/>
        <v>0</v>
      </c>
      <c r="CR85" s="760">
        <f t="shared" si="63"/>
        <v>0</v>
      </c>
      <c r="CS85" s="747"/>
      <c r="CT85" s="808"/>
      <c r="CU85" s="760"/>
      <c r="CV85" s="747"/>
      <c r="CW85" s="808"/>
      <c r="CX85" s="760"/>
      <c r="CY85" s="747"/>
      <c r="CZ85" s="808"/>
      <c r="DA85" s="760"/>
      <c r="DB85" s="747"/>
      <c r="DC85" s="808">
        <v>32005</v>
      </c>
      <c r="DD85" s="760">
        <v>32005</v>
      </c>
      <c r="DE85" s="747">
        <f t="shared" si="142"/>
        <v>0</v>
      </c>
      <c r="DF85" s="808">
        <f t="shared" si="142"/>
        <v>32005</v>
      </c>
      <c r="DG85" s="760">
        <f t="shared" si="142"/>
        <v>32005</v>
      </c>
      <c r="DH85" s="747"/>
      <c r="DI85" s="808">
        <v>26674</v>
      </c>
      <c r="DJ85" s="760">
        <f>'6_sz_tábla B.'!Q50</f>
        <v>25359</v>
      </c>
      <c r="DK85" s="747"/>
      <c r="DL85" s="808"/>
      <c r="DM85" s="760"/>
      <c r="DN85" s="747">
        <f t="shared" si="143"/>
        <v>0</v>
      </c>
      <c r="DO85" s="808">
        <f t="shared" si="143"/>
        <v>58679</v>
      </c>
      <c r="DP85" s="760">
        <f t="shared" si="143"/>
        <v>57364</v>
      </c>
      <c r="DQ85" s="833">
        <f>DP85/DO85*100</f>
        <v>97.75899384788426</v>
      </c>
      <c r="DR85" s="642"/>
      <c r="DS85" s="642"/>
      <c r="DT85" s="642"/>
      <c r="DU85" s="642"/>
      <c r="DV85" s="642"/>
      <c r="DW85" s="642"/>
      <c r="DX85" s="642"/>
      <c r="DY85" s="642"/>
      <c r="DZ85" s="642"/>
      <c r="EA85" s="642"/>
      <c r="EB85" s="642"/>
      <c r="EC85" s="642"/>
      <c r="ED85" s="642"/>
      <c r="EE85" s="642"/>
      <c r="EF85" s="642"/>
      <c r="EG85" s="642"/>
      <c r="EH85" s="642"/>
      <c r="EI85" s="642"/>
      <c r="EJ85" s="642"/>
      <c r="EK85" s="642"/>
      <c r="EL85" s="642"/>
      <c r="EM85" s="642"/>
      <c r="EN85" s="642"/>
      <c r="EO85" s="642"/>
      <c r="EP85" s="642"/>
      <c r="EQ85" s="642"/>
      <c r="ER85" s="642"/>
      <c r="ES85" s="642"/>
      <c r="ET85" s="642"/>
      <c r="EU85" s="642"/>
      <c r="EV85" s="642"/>
      <c r="EW85" s="642"/>
      <c r="EX85" s="642"/>
      <c r="EY85" s="642"/>
      <c r="EZ85" s="642"/>
      <c r="FA85" s="642"/>
      <c r="FB85" s="642"/>
      <c r="FC85" s="642"/>
      <c r="FD85" s="642"/>
      <c r="FE85" s="642"/>
      <c r="FF85" s="642"/>
      <c r="FG85" s="642"/>
      <c r="FH85" s="642"/>
      <c r="FI85" s="642"/>
      <c r="FJ85" s="642"/>
      <c r="FK85" s="642"/>
      <c r="FL85" s="642"/>
      <c r="FM85" s="642"/>
      <c r="FN85" s="642"/>
      <c r="FO85" s="642"/>
      <c r="FP85" s="642"/>
      <c r="FQ85" s="642"/>
      <c r="FR85" s="642"/>
      <c r="FS85" s="642"/>
      <c r="FT85" s="642"/>
      <c r="FU85" s="642"/>
      <c r="FV85" s="642"/>
      <c r="FW85" s="642"/>
      <c r="FX85" s="642"/>
      <c r="FY85" s="642"/>
      <c r="FZ85" s="642"/>
      <c r="GA85" s="642"/>
      <c r="GB85" s="642"/>
      <c r="GC85" s="642"/>
      <c r="GD85" s="642"/>
      <c r="GE85" s="642"/>
      <c r="GF85" s="642"/>
      <c r="GG85" s="642"/>
      <c r="GH85" s="642"/>
      <c r="GI85" s="642"/>
      <c r="GJ85" s="642"/>
      <c r="GK85" s="642"/>
      <c r="GL85" s="642"/>
      <c r="GM85" s="642"/>
      <c r="GN85" s="642"/>
      <c r="GO85" s="642"/>
      <c r="GP85" s="642"/>
      <c r="GQ85" s="642"/>
      <c r="GR85" s="642"/>
      <c r="GS85" s="642"/>
      <c r="GT85" s="642"/>
      <c r="GU85" s="642"/>
      <c r="GV85" s="642"/>
      <c r="GW85" s="642"/>
      <c r="GX85" s="642"/>
      <c r="GY85" s="642"/>
      <c r="GZ85" s="642"/>
      <c r="HA85" s="642"/>
      <c r="HB85" s="642"/>
      <c r="HC85" s="642"/>
      <c r="HD85" s="642"/>
      <c r="HE85" s="642"/>
      <c r="HF85" s="642"/>
      <c r="HG85" s="642"/>
      <c r="HH85" s="642"/>
      <c r="HI85" s="642"/>
      <c r="HJ85" s="642"/>
      <c r="HK85" s="642"/>
      <c r="HL85" s="642"/>
      <c r="HM85" s="642"/>
      <c r="HN85" s="642"/>
      <c r="HO85" s="642"/>
      <c r="HP85" s="642"/>
      <c r="HQ85" s="642"/>
      <c r="HR85" s="642"/>
      <c r="HS85" s="642"/>
      <c r="HT85" s="642"/>
      <c r="HU85" s="642"/>
      <c r="HV85" s="642"/>
      <c r="HW85" s="642"/>
      <c r="HX85" s="642"/>
    </row>
    <row r="86" spans="1:218" ht="12.75" customHeight="1">
      <c r="A86" s="732" t="s">
        <v>1051</v>
      </c>
      <c r="B86" s="733" t="s">
        <v>255</v>
      </c>
      <c r="C86" s="1976"/>
      <c r="D86" s="739">
        <f aca="true" t="shared" si="144" ref="D86:AI86">D12+D42+D53+D80+D83</f>
        <v>14351</v>
      </c>
      <c r="E86" s="800">
        <f t="shared" si="144"/>
        <v>14351</v>
      </c>
      <c r="F86" s="752">
        <f t="shared" si="144"/>
        <v>14654.156</v>
      </c>
      <c r="G86" s="739">
        <f t="shared" si="144"/>
        <v>1068870</v>
      </c>
      <c r="H86" s="800">
        <f t="shared" si="144"/>
        <v>898250</v>
      </c>
      <c r="I86" s="752">
        <f t="shared" si="144"/>
        <v>939435.3640000001</v>
      </c>
      <c r="J86" s="739">
        <f t="shared" si="144"/>
        <v>175062</v>
      </c>
      <c r="K86" s="800">
        <f t="shared" si="144"/>
        <v>131600</v>
      </c>
      <c r="L86" s="752">
        <f t="shared" si="144"/>
        <v>140189</v>
      </c>
      <c r="M86" s="739">
        <f t="shared" si="144"/>
        <v>0</v>
      </c>
      <c r="N86" s="800">
        <f t="shared" si="144"/>
        <v>0</v>
      </c>
      <c r="O86" s="752">
        <f t="shared" si="144"/>
        <v>0</v>
      </c>
      <c r="P86" s="739">
        <f t="shared" si="144"/>
        <v>0</v>
      </c>
      <c r="Q86" s="800">
        <f t="shared" si="144"/>
        <v>844</v>
      </c>
      <c r="R86" s="752">
        <f t="shared" si="144"/>
        <v>844</v>
      </c>
      <c r="S86" s="739">
        <f t="shared" si="144"/>
        <v>54061</v>
      </c>
      <c r="T86" s="800">
        <f t="shared" si="144"/>
        <v>56524.9</v>
      </c>
      <c r="U86" s="752">
        <f t="shared" si="144"/>
        <v>57331</v>
      </c>
      <c r="V86" s="739">
        <f t="shared" si="144"/>
        <v>291500</v>
      </c>
      <c r="W86" s="800">
        <f t="shared" si="144"/>
        <v>148192</v>
      </c>
      <c r="X86" s="752">
        <f t="shared" si="144"/>
        <v>142752</v>
      </c>
      <c r="Y86" s="739">
        <f t="shared" si="144"/>
        <v>217159</v>
      </c>
      <c r="Z86" s="800">
        <f t="shared" si="144"/>
        <v>122975.33600000001</v>
      </c>
      <c r="AA86" s="752">
        <f t="shared" si="144"/>
        <v>125157.557</v>
      </c>
      <c r="AB86" s="739">
        <f t="shared" si="144"/>
        <v>0</v>
      </c>
      <c r="AC86" s="800">
        <f t="shared" si="144"/>
        <v>0</v>
      </c>
      <c r="AD86" s="752">
        <f t="shared" si="144"/>
        <v>0</v>
      </c>
      <c r="AE86" s="739">
        <f t="shared" si="144"/>
        <v>0</v>
      </c>
      <c r="AF86" s="800">
        <f t="shared" si="144"/>
        <v>0</v>
      </c>
      <c r="AG86" s="752">
        <f t="shared" si="144"/>
        <v>0</v>
      </c>
      <c r="AH86" s="739">
        <f t="shared" si="144"/>
        <v>928882</v>
      </c>
      <c r="AI86" s="800">
        <f t="shared" si="144"/>
        <v>950961</v>
      </c>
      <c r="AJ86" s="752">
        <f aca="true" t="shared" si="145" ref="AJ86:BO86">AJ12+AJ42+AJ53+AJ80+AJ83</f>
        <v>1031073.531</v>
      </c>
      <c r="AK86" s="739">
        <f t="shared" si="145"/>
        <v>6670813</v>
      </c>
      <c r="AL86" s="800">
        <f t="shared" si="145"/>
        <v>6700813</v>
      </c>
      <c r="AM86" s="752">
        <f t="shared" si="145"/>
        <v>6916215.219999999</v>
      </c>
      <c r="AN86" s="739">
        <f t="shared" si="145"/>
        <v>0</v>
      </c>
      <c r="AO86" s="800">
        <f t="shared" si="145"/>
        <v>0</v>
      </c>
      <c r="AP86" s="752">
        <f t="shared" si="145"/>
        <v>0</v>
      </c>
      <c r="AQ86" s="739">
        <f t="shared" si="145"/>
        <v>0</v>
      </c>
      <c r="AR86" s="800">
        <f t="shared" si="145"/>
        <v>2000</v>
      </c>
      <c r="AS86" s="752">
        <f t="shared" si="145"/>
        <v>2000</v>
      </c>
      <c r="AT86" s="739">
        <f t="shared" si="145"/>
        <v>0</v>
      </c>
      <c r="AU86" s="800">
        <f t="shared" si="145"/>
        <v>0</v>
      </c>
      <c r="AV86" s="752">
        <f t="shared" si="145"/>
        <v>0</v>
      </c>
      <c r="AW86" s="739">
        <f t="shared" si="145"/>
        <v>330468</v>
      </c>
      <c r="AX86" s="800">
        <f t="shared" si="145"/>
        <v>441906.967</v>
      </c>
      <c r="AY86" s="752">
        <f t="shared" si="145"/>
        <v>448376.96199999994</v>
      </c>
      <c r="AZ86" s="739">
        <f t="shared" si="145"/>
        <v>0</v>
      </c>
      <c r="BA86" s="800">
        <f t="shared" si="145"/>
        <v>0</v>
      </c>
      <c r="BB86" s="752">
        <f t="shared" si="145"/>
        <v>0</v>
      </c>
      <c r="BC86" s="739">
        <f t="shared" si="145"/>
        <v>2022761</v>
      </c>
      <c r="BD86" s="800">
        <f t="shared" si="145"/>
        <v>2279448.2860000003</v>
      </c>
      <c r="BE86" s="752">
        <f t="shared" si="145"/>
        <v>2296345.6909999996</v>
      </c>
      <c r="BF86" s="739">
        <f t="shared" si="145"/>
        <v>836001</v>
      </c>
      <c r="BG86" s="800">
        <f t="shared" si="145"/>
        <v>439404</v>
      </c>
      <c r="BH86" s="752">
        <f t="shared" si="145"/>
        <v>401154.081</v>
      </c>
      <c r="BI86" s="739">
        <f t="shared" si="145"/>
        <v>12609928</v>
      </c>
      <c r="BJ86" s="800">
        <f t="shared" si="145"/>
        <v>12187270.51</v>
      </c>
      <c r="BK86" s="752">
        <f t="shared" si="145"/>
        <v>12515528.037</v>
      </c>
      <c r="BL86" s="739">
        <f t="shared" si="145"/>
        <v>0</v>
      </c>
      <c r="BM86" s="800">
        <f t="shared" si="145"/>
        <v>0</v>
      </c>
      <c r="BN86" s="752">
        <f t="shared" si="145"/>
        <v>0</v>
      </c>
      <c r="BO86" s="739">
        <f t="shared" si="145"/>
        <v>0</v>
      </c>
      <c r="BP86" s="800">
        <f aca="true" t="shared" si="146" ref="BP86:CU86">BP12+BP42+BP53+BP80+BP83</f>
        <v>0</v>
      </c>
      <c r="BQ86" s="752">
        <f t="shared" si="146"/>
        <v>0</v>
      </c>
      <c r="BR86" s="739">
        <f t="shared" si="146"/>
        <v>0</v>
      </c>
      <c r="BS86" s="800">
        <f t="shared" si="146"/>
        <v>0</v>
      </c>
      <c r="BT86" s="752">
        <f t="shared" si="146"/>
        <v>0</v>
      </c>
      <c r="BU86" s="739">
        <f t="shared" si="146"/>
        <v>0</v>
      </c>
      <c r="BV86" s="800">
        <f t="shared" si="146"/>
        <v>0</v>
      </c>
      <c r="BW86" s="752">
        <f t="shared" si="146"/>
        <v>0</v>
      </c>
      <c r="BX86" s="739">
        <f t="shared" si="146"/>
        <v>0</v>
      </c>
      <c r="BY86" s="800">
        <f t="shared" si="146"/>
        <v>0</v>
      </c>
      <c r="BZ86" s="752">
        <f t="shared" si="146"/>
        <v>0</v>
      </c>
      <c r="CA86" s="739">
        <f t="shared" si="146"/>
        <v>3810</v>
      </c>
      <c r="CB86" s="800">
        <f t="shared" si="146"/>
        <v>3810</v>
      </c>
      <c r="CC86" s="752">
        <f t="shared" si="146"/>
        <v>4702</v>
      </c>
      <c r="CD86" s="739">
        <f t="shared" si="146"/>
        <v>1000</v>
      </c>
      <c r="CE86" s="800">
        <f t="shared" si="146"/>
        <v>5448</v>
      </c>
      <c r="CF86" s="752">
        <f t="shared" si="146"/>
        <v>49499</v>
      </c>
      <c r="CG86" s="739">
        <f t="shared" si="146"/>
        <v>0</v>
      </c>
      <c r="CH86" s="800">
        <f t="shared" si="146"/>
        <v>0</v>
      </c>
      <c r="CI86" s="752">
        <f t="shared" si="146"/>
        <v>0</v>
      </c>
      <c r="CJ86" s="739">
        <f t="shared" si="146"/>
        <v>23000</v>
      </c>
      <c r="CK86" s="800">
        <f t="shared" si="146"/>
        <v>44702.369999999995</v>
      </c>
      <c r="CL86" s="752">
        <f t="shared" si="146"/>
        <v>219918</v>
      </c>
      <c r="CM86" s="739">
        <f t="shared" si="146"/>
        <v>27810</v>
      </c>
      <c r="CN86" s="800">
        <f t="shared" si="146"/>
        <v>53960.369999999995</v>
      </c>
      <c r="CO86" s="752">
        <f t="shared" si="146"/>
        <v>274119</v>
      </c>
      <c r="CP86" s="739">
        <f t="shared" si="146"/>
        <v>12637738</v>
      </c>
      <c r="CQ86" s="800">
        <f t="shared" si="146"/>
        <v>12241230.879999999</v>
      </c>
      <c r="CR86" s="752">
        <f t="shared" si="146"/>
        <v>12789647.037</v>
      </c>
      <c r="CS86" s="739">
        <f t="shared" si="146"/>
        <v>7132</v>
      </c>
      <c r="CT86" s="800">
        <f t="shared" si="146"/>
        <v>6134</v>
      </c>
      <c r="CU86" s="752">
        <f t="shared" si="146"/>
        <v>6132.091</v>
      </c>
      <c r="CV86" s="739">
        <f aca="true" t="shared" si="147" ref="CV86:DQ86">CV12+CV42+CV53+CV80+CV83</f>
        <v>0</v>
      </c>
      <c r="CW86" s="800">
        <f t="shared" si="147"/>
        <v>0</v>
      </c>
      <c r="CX86" s="752">
        <f t="shared" si="147"/>
        <v>0</v>
      </c>
      <c r="CY86" s="739">
        <f t="shared" si="147"/>
        <v>0</v>
      </c>
      <c r="CZ86" s="800">
        <f t="shared" si="147"/>
        <v>16</v>
      </c>
      <c r="DA86" s="752">
        <f t="shared" si="147"/>
        <v>16.188</v>
      </c>
      <c r="DB86" s="739">
        <f t="shared" si="147"/>
        <v>80345</v>
      </c>
      <c r="DC86" s="800">
        <f t="shared" si="147"/>
        <v>452125</v>
      </c>
      <c r="DD86" s="752">
        <f t="shared" si="147"/>
        <v>451978.43</v>
      </c>
      <c r="DE86" s="739">
        <f t="shared" si="147"/>
        <v>87477</v>
      </c>
      <c r="DF86" s="800">
        <f t="shared" si="147"/>
        <v>458275</v>
      </c>
      <c r="DG86" s="752">
        <f t="shared" si="147"/>
        <v>458126.709</v>
      </c>
      <c r="DH86" s="739">
        <f t="shared" si="147"/>
        <v>110358</v>
      </c>
      <c r="DI86" s="800">
        <f t="shared" si="147"/>
        <v>203272</v>
      </c>
      <c r="DJ86" s="752">
        <f t="shared" si="147"/>
        <v>214050</v>
      </c>
      <c r="DK86" s="739">
        <f t="shared" si="147"/>
        <v>1062764</v>
      </c>
      <c r="DL86" s="800">
        <f t="shared" si="147"/>
        <v>1153675</v>
      </c>
      <c r="DM86" s="752">
        <f t="shared" si="147"/>
        <v>1149352</v>
      </c>
      <c r="DN86" s="739">
        <f t="shared" si="147"/>
        <v>13898337</v>
      </c>
      <c r="DO86" s="800">
        <f t="shared" si="147"/>
        <v>14056452.879999999</v>
      </c>
      <c r="DP86" s="752">
        <f t="shared" si="147"/>
        <v>14611175.746</v>
      </c>
      <c r="DQ86" s="824">
        <f t="shared" si="147"/>
        <v>511.82830341454337</v>
      </c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</row>
    <row r="87" spans="1:218" ht="12.75" customHeight="1">
      <c r="A87" s="731" t="s">
        <v>904</v>
      </c>
      <c r="B87" s="734" t="s">
        <v>112</v>
      </c>
      <c r="C87" s="1977"/>
      <c r="D87" s="739">
        <f>SUM(D88:D89)</f>
        <v>0</v>
      </c>
      <c r="E87" s="800">
        <f>SUM(E88:E89)</f>
        <v>0</v>
      </c>
      <c r="F87" s="752">
        <f aca="true" t="shared" si="148" ref="F87:BN87">SUM(F88:F89)</f>
        <v>0</v>
      </c>
      <c r="G87" s="739">
        <f t="shared" si="148"/>
        <v>0</v>
      </c>
      <c r="H87" s="800">
        <f t="shared" si="148"/>
        <v>0</v>
      </c>
      <c r="I87" s="752">
        <f t="shared" si="148"/>
        <v>0</v>
      </c>
      <c r="J87" s="739">
        <f t="shared" si="148"/>
        <v>0</v>
      </c>
      <c r="K87" s="800">
        <f t="shared" si="148"/>
        <v>0</v>
      </c>
      <c r="L87" s="752">
        <f t="shared" si="148"/>
        <v>0</v>
      </c>
      <c r="M87" s="739">
        <f t="shared" si="148"/>
        <v>0</v>
      </c>
      <c r="N87" s="800">
        <f t="shared" si="148"/>
        <v>0</v>
      </c>
      <c r="O87" s="752">
        <f t="shared" si="148"/>
        <v>0</v>
      </c>
      <c r="P87" s="739">
        <f t="shared" si="148"/>
        <v>0</v>
      </c>
      <c r="Q87" s="800">
        <f t="shared" si="148"/>
        <v>0</v>
      </c>
      <c r="R87" s="752">
        <f t="shared" si="148"/>
        <v>0</v>
      </c>
      <c r="S87" s="739">
        <f t="shared" si="148"/>
        <v>0</v>
      </c>
      <c r="T87" s="800">
        <f t="shared" si="148"/>
        <v>0</v>
      </c>
      <c r="U87" s="752">
        <f t="shared" si="148"/>
        <v>0</v>
      </c>
      <c r="V87" s="739">
        <f t="shared" si="148"/>
        <v>0</v>
      </c>
      <c r="W87" s="800">
        <f t="shared" si="148"/>
        <v>0</v>
      </c>
      <c r="X87" s="752">
        <f t="shared" si="148"/>
        <v>0</v>
      </c>
      <c r="Y87" s="739">
        <f t="shared" si="148"/>
        <v>0</v>
      </c>
      <c r="Z87" s="800">
        <f t="shared" si="148"/>
        <v>0</v>
      </c>
      <c r="AA87" s="752">
        <f t="shared" si="148"/>
        <v>0</v>
      </c>
      <c r="AB87" s="739">
        <f t="shared" si="148"/>
        <v>0</v>
      </c>
      <c r="AC87" s="800">
        <f t="shared" si="148"/>
        <v>0</v>
      </c>
      <c r="AD87" s="752">
        <f t="shared" si="148"/>
        <v>0</v>
      </c>
      <c r="AE87" s="739">
        <f t="shared" si="148"/>
        <v>0</v>
      </c>
      <c r="AF87" s="800">
        <f t="shared" si="148"/>
        <v>0</v>
      </c>
      <c r="AG87" s="752">
        <f t="shared" si="148"/>
        <v>0</v>
      </c>
      <c r="AH87" s="739">
        <f t="shared" si="148"/>
        <v>0</v>
      </c>
      <c r="AI87" s="800">
        <f t="shared" si="148"/>
        <v>0</v>
      </c>
      <c r="AJ87" s="752">
        <f t="shared" si="148"/>
        <v>0</v>
      </c>
      <c r="AK87" s="739">
        <f t="shared" si="148"/>
        <v>0</v>
      </c>
      <c r="AL87" s="800">
        <f t="shared" si="148"/>
        <v>0</v>
      </c>
      <c r="AM87" s="752">
        <f t="shared" si="148"/>
        <v>0</v>
      </c>
      <c r="AN87" s="739">
        <f t="shared" si="148"/>
        <v>0</v>
      </c>
      <c r="AO87" s="800">
        <f t="shared" si="148"/>
        <v>0</v>
      </c>
      <c r="AP87" s="752">
        <f t="shared" si="148"/>
        <v>0</v>
      </c>
      <c r="AQ87" s="739">
        <f t="shared" si="148"/>
        <v>0</v>
      </c>
      <c r="AR87" s="800">
        <f t="shared" si="148"/>
        <v>0</v>
      </c>
      <c r="AS87" s="752">
        <f t="shared" si="148"/>
        <v>0</v>
      </c>
      <c r="AT87" s="739">
        <f t="shared" si="148"/>
        <v>0</v>
      </c>
      <c r="AU87" s="800">
        <f t="shared" si="148"/>
        <v>0</v>
      </c>
      <c r="AV87" s="752">
        <f t="shared" si="148"/>
        <v>0</v>
      </c>
      <c r="AW87" s="739">
        <f t="shared" si="148"/>
        <v>0</v>
      </c>
      <c r="AX87" s="800">
        <f t="shared" si="148"/>
        <v>0</v>
      </c>
      <c r="AY87" s="752">
        <f t="shared" si="148"/>
        <v>0</v>
      </c>
      <c r="AZ87" s="739">
        <f t="shared" si="148"/>
        <v>0</v>
      </c>
      <c r="BA87" s="800">
        <f t="shared" si="148"/>
        <v>0</v>
      </c>
      <c r="BB87" s="752">
        <f t="shared" si="148"/>
        <v>0</v>
      </c>
      <c r="BC87" s="739">
        <f t="shared" si="148"/>
        <v>0</v>
      </c>
      <c r="BD87" s="800">
        <f t="shared" si="148"/>
        <v>0</v>
      </c>
      <c r="BE87" s="752">
        <f t="shared" si="148"/>
        <v>0</v>
      </c>
      <c r="BF87" s="739">
        <f t="shared" si="148"/>
        <v>0</v>
      </c>
      <c r="BG87" s="800">
        <f t="shared" si="148"/>
        <v>0</v>
      </c>
      <c r="BH87" s="752">
        <f t="shared" si="148"/>
        <v>0</v>
      </c>
      <c r="BI87" s="739">
        <f t="shared" si="148"/>
        <v>0</v>
      </c>
      <c r="BJ87" s="800">
        <f t="shared" si="148"/>
        <v>0</v>
      </c>
      <c r="BK87" s="752">
        <f t="shared" si="148"/>
        <v>0</v>
      </c>
      <c r="BL87" s="739">
        <f t="shared" si="148"/>
        <v>0</v>
      </c>
      <c r="BM87" s="800">
        <f t="shared" si="148"/>
        <v>0</v>
      </c>
      <c r="BN87" s="752">
        <f t="shared" si="148"/>
        <v>0</v>
      </c>
      <c r="BO87" s="739">
        <f aca="true" t="shared" si="149" ref="BO87:CO87">SUM(BO88:BO89)</f>
        <v>0</v>
      </c>
      <c r="BP87" s="800">
        <f t="shared" si="149"/>
        <v>0</v>
      </c>
      <c r="BQ87" s="752">
        <f t="shared" si="149"/>
        <v>0</v>
      </c>
      <c r="BR87" s="739">
        <f t="shared" si="149"/>
        <v>0</v>
      </c>
      <c r="BS87" s="800">
        <f t="shared" si="149"/>
        <v>0</v>
      </c>
      <c r="BT87" s="752">
        <f t="shared" si="149"/>
        <v>0</v>
      </c>
      <c r="BU87" s="739">
        <f t="shared" si="149"/>
        <v>0</v>
      </c>
      <c r="BV87" s="800">
        <f t="shared" si="149"/>
        <v>0</v>
      </c>
      <c r="BW87" s="752">
        <f t="shared" si="149"/>
        <v>0</v>
      </c>
      <c r="BX87" s="739">
        <f t="shared" si="149"/>
        <v>0</v>
      </c>
      <c r="BY87" s="800">
        <f t="shared" si="149"/>
        <v>0</v>
      </c>
      <c r="BZ87" s="752">
        <f t="shared" si="149"/>
        <v>0</v>
      </c>
      <c r="CA87" s="739">
        <f t="shared" si="149"/>
        <v>0</v>
      </c>
      <c r="CB87" s="800">
        <f t="shared" si="149"/>
        <v>0</v>
      </c>
      <c r="CC87" s="752">
        <f t="shared" si="149"/>
        <v>0</v>
      </c>
      <c r="CD87" s="739">
        <f t="shared" si="149"/>
        <v>0</v>
      </c>
      <c r="CE87" s="800">
        <f t="shared" si="149"/>
        <v>0</v>
      </c>
      <c r="CF87" s="752">
        <f t="shared" si="149"/>
        <v>0</v>
      </c>
      <c r="CG87" s="739">
        <f t="shared" si="149"/>
        <v>0</v>
      </c>
      <c r="CH87" s="800">
        <f t="shared" si="149"/>
        <v>0</v>
      </c>
      <c r="CI87" s="752">
        <f t="shared" si="149"/>
        <v>0</v>
      </c>
      <c r="CJ87" s="739">
        <f t="shared" si="149"/>
        <v>0</v>
      </c>
      <c r="CK87" s="800">
        <f t="shared" si="149"/>
        <v>0</v>
      </c>
      <c r="CL87" s="752">
        <f t="shared" si="149"/>
        <v>0</v>
      </c>
      <c r="CM87" s="739">
        <f t="shared" si="149"/>
        <v>0</v>
      </c>
      <c r="CN87" s="800">
        <f t="shared" si="149"/>
        <v>0</v>
      </c>
      <c r="CO87" s="752">
        <f t="shared" si="149"/>
        <v>0</v>
      </c>
      <c r="CP87" s="739">
        <f aca="true" t="shared" si="150" ref="CP87:CP96">BI87+CM87</f>
        <v>0</v>
      </c>
      <c r="CQ87" s="800">
        <f aca="true" t="shared" si="151" ref="CQ87:CQ96">BJ87+CN87</f>
        <v>0</v>
      </c>
      <c r="CR87" s="752">
        <f aca="true" t="shared" si="152" ref="CR87:CR96">BK87+CO87</f>
        <v>0</v>
      </c>
      <c r="CS87" s="739">
        <f aca="true" t="shared" si="153" ref="CS87:DD87">SUM(CS88:CS89)</f>
        <v>0</v>
      </c>
      <c r="CT87" s="800">
        <f t="shared" si="153"/>
        <v>0</v>
      </c>
      <c r="CU87" s="752">
        <f t="shared" si="153"/>
        <v>0</v>
      </c>
      <c r="CV87" s="739">
        <f>SUM(CV88:CV89)</f>
        <v>0</v>
      </c>
      <c r="CW87" s="800">
        <f>SUM(CW88:CW89)</f>
        <v>0</v>
      </c>
      <c r="CX87" s="752">
        <f>SUM(CX88:CX89)</f>
        <v>0</v>
      </c>
      <c r="CY87" s="739">
        <f t="shared" si="153"/>
        <v>0</v>
      </c>
      <c r="CZ87" s="800">
        <f t="shared" si="153"/>
        <v>0</v>
      </c>
      <c r="DA87" s="752">
        <f t="shared" si="153"/>
        <v>0</v>
      </c>
      <c r="DB87" s="739">
        <f t="shared" si="153"/>
        <v>0</v>
      </c>
      <c r="DC87" s="800">
        <f t="shared" si="153"/>
        <v>0</v>
      </c>
      <c r="DD87" s="752">
        <f t="shared" si="153"/>
        <v>0</v>
      </c>
      <c r="DE87" s="739">
        <f>CP87+CS87+CY87+DB87</f>
        <v>0</v>
      </c>
      <c r="DF87" s="800">
        <f>CQ87+CT87+CZ87+DC87</f>
        <v>0</v>
      </c>
      <c r="DG87" s="752">
        <f>CR87+CU87+DA87+DD87</f>
        <v>0</v>
      </c>
      <c r="DH87" s="739">
        <f aca="true" t="shared" si="154" ref="DH87:DP87">SUM(DH88:DH89)</f>
        <v>0</v>
      </c>
      <c r="DI87" s="800">
        <f t="shared" si="154"/>
        <v>0</v>
      </c>
      <c r="DJ87" s="752">
        <f t="shared" si="154"/>
        <v>0</v>
      </c>
      <c r="DK87" s="739">
        <f t="shared" si="154"/>
        <v>0</v>
      </c>
      <c r="DL87" s="800">
        <f t="shared" si="154"/>
        <v>0</v>
      </c>
      <c r="DM87" s="752">
        <f t="shared" si="154"/>
        <v>0</v>
      </c>
      <c r="DN87" s="739">
        <f t="shared" si="154"/>
        <v>0</v>
      </c>
      <c r="DO87" s="800">
        <f t="shared" si="154"/>
        <v>0</v>
      </c>
      <c r="DP87" s="752">
        <f t="shared" si="154"/>
        <v>0</v>
      </c>
      <c r="DQ87" s="828">
        <v>0</v>
      </c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</row>
    <row r="88" spans="1:218" ht="12.75" customHeight="1">
      <c r="A88" s="729" t="s">
        <v>482</v>
      </c>
      <c r="B88" s="730" t="s">
        <v>113</v>
      </c>
      <c r="C88" s="1975"/>
      <c r="D88" s="739"/>
      <c r="E88" s="800"/>
      <c r="F88" s="752"/>
      <c r="G88" s="739"/>
      <c r="H88" s="800"/>
      <c r="I88" s="752"/>
      <c r="J88" s="739"/>
      <c r="K88" s="800"/>
      <c r="L88" s="752"/>
      <c r="M88" s="739"/>
      <c r="N88" s="800"/>
      <c r="O88" s="752"/>
      <c r="P88" s="739"/>
      <c r="Q88" s="800"/>
      <c r="R88" s="752"/>
      <c r="S88" s="739"/>
      <c r="T88" s="800"/>
      <c r="U88" s="752"/>
      <c r="V88" s="739"/>
      <c r="W88" s="800"/>
      <c r="X88" s="752"/>
      <c r="Y88" s="739"/>
      <c r="Z88" s="800"/>
      <c r="AA88" s="752"/>
      <c r="AB88" s="739"/>
      <c r="AC88" s="800"/>
      <c r="AD88" s="752"/>
      <c r="AE88" s="739"/>
      <c r="AF88" s="800"/>
      <c r="AG88" s="752"/>
      <c r="AH88" s="739"/>
      <c r="AI88" s="800"/>
      <c r="AJ88" s="752"/>
      <c r="AK88" s="739"/>
      <c r="AL88" s="800"/>
      <c r="AM88" s="752"/>
      <c r="AN88" s="739"/>
      <c r="AO88" s="800"/>
      <c r="AP88" s="752"/>
      <c r="AQ88" s="739"/>
      <c r="AR88" s="800"/>
      <c r="AS88" s="752"/>
      <c r="AT88" s="739"/>
      <c r="AU88" s="800"/>
      <c r="AV88" s="752"/>
      <c r="AW88" s="739"/>
      <c r="AX88" s="800"/>
      <c r="AY88" s="752"/>
      <c r="AZ88" s="739"/>
      <c r="BA88" s="800"/>
      <c r="BB88" s="752"/>
      <c r="BC88" s="739"/>
      <c r="BD88" s="800"/>
      <c r="BE88" s="752"/>
      <c r="BF88" s="739"/>
      <c r="BG88" s="800"/>
      <c r="BH88" s="752"/>
      <c r="BI88" s="739">
        <f aca="true" t="shared" si="155" ref="BI88:BK89">D88+G88+J88+M88+P88+S88+V88+Y88+AB88+AE88+AH88+AK88+AN88+AQ88+AT88+AW88+AZ88+BC88+BF88</f>
        <v>0</v>
      </c>
      <c r="BJ88" s="800">
        <f t="shared" si="155"/>
        <v>0</v>
      </c>
      <c r="BK88" s="752">
        <f t="shared" si="155"/>
        <v>0</v>
      </c>
      <c r="BL88" s="739"/>
      <c r="BM88" s="800"/>
      <c r="BN88" s="752"/>
      <c r="BO88" s="739"/>
      <c r="BP88" s="800"/>
      <c r="BQ88" s="752"/>
      <c r="BR88" s="739"/>
      <c r="BS88" s="800"/>
      <c r="BT88" s="752"/>
      <c r="BU88" s="739"/>
      <c r="BV88" s="800"/>
      <c r="BW88" s="752"/>
      <c r="BX88" s="739"/>
      <c r="BY88" s="800"/>
      <c r="BZ88" s="752"/>
      <c r="CA88" s="739"/>
      <c r="CB88" s="800"/>
      <c r="CC88" s="752"/>
      <c r="CD88" s="739"/>
      <c r="CE88" s="800"/>
      <c r="CF88" s="752"/>
      <c r="CG88" s="739"/>
      <c r="CH88" s="800"/>
      <c r="CI88" s="752"/>
      <c r="CJ88" s="739"/>
      <c r="CK88" s="800"/>
      <c r="CL88" s="752"/>
      <c r="CM88" s="739">
        <f aca="true" t="shared" si="156" ref="CM88:CO89">BL88+BO88+BR88+BU88+BX88+CA88+CD88+CG88+CJ88</f>
        <v>0</v>
      </c>
      <c r="CN88" s="800">
        <f t="shared" si="156"/>
        <v>0</v>
      </c>
      <c r="CO88" s="752">
        <f t="shared" si="156"/>
        <v>0</v>
      </c>
      <c r="CP88" s="739">
        <f t="shared" si="150"/>
        <v>0</v>
      </c>
      <c r="CQ88" s="800">
        <f t="shared" si="151"/>
        <v>0</v>
      </c>
      <c r="CR88" s="752">
        <f t="shared" si="152"/>
        <v>0</v>
      </c>
      <c r="CS88" s="739"/>
      <c r="CT88" s="800"/>
      <c r="CU88" s="752"/>
      <c r="CV88" s="739"/>
      <c r="CW88" s="800"/>
      <c r="CX88" s="752"/>
      <c r="CY88" s="739"/>
      <c r="CZ88" s="800"/>
      <c r="DA88" s="752"/>
      <c r="DB88" s="739"/>
      <c r="DC88" s="800"/>
      <c r="DD88" s="752"/>
      <c r="DE88" s="739">
        <f aca="true" t="shared" si="157" ref="DE88:DG89">CS88+CV88+CY88+DB88</f>
        <v>0</v>
      </c>
      <c r="DF88" s="800">
        <f t="shared" si="157"/>
        <v>0</v>
      </c>
      <c r="DG88" s="752">
        <f t="shared" si="157"/>
        <v>0</v>
      </c>
      <c r="DH88" s="739"/>
      <c r="DI88" s="800"/>
      <c r="DJ88" s="752"/>
      <c r="DK88" s="739"/>
      <c r="DL88" s="800"/>
      <c r="DM88" s="752"/>
      <c r="DN88" s="739">
        <f aca="true" t="shared" si="158" ref="DN88:DP94">CP88+DE88+DH88+DK88</f>
        <v>0</v>
      </c>
      <c r="DO88" s="800">
        <f t="shared" si="158"/>
        <v>0</v>
      </c>
      <c r="DP88" s="752">
        <f t="shared" si="158"/>
        <v>0</v>
      </c>
      <c r="DQ88" s="828">
        <v>0</v>
      </c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</row>
    <row r="89" spans="1:218" ht="12.75" customHeight="1">
      <c r="A89" s="729" t="s">
        <v>155</v>
      </c>
      <c r="B89" s="730" t="s">
        <v>114</v>
      </c>
      <c r="C89" s="1975"/>
      <c r="D89" s="739"/>
      <c r="E89" s="800"/>
      <c r="F89" s="752"/>
      <c r="G89" s="739"/>
      <c r="H89" s="800"/>
      <c r="I89" s="752"/>
      <c r="J89" s="739"/>
      <c r="K89" s="800"/>
      <c r="L89" s="752"/>
      <c r="M89" s="739"/>
      <c r="N89" s="800"/>
      <c r="O89" s="752"/>
      <c r="P89" s="739"/>
      <c r="Q89" s="800"/>
      <c r="R89" s="752"/>
      <c r="S89" s="739"/>
      <c r="T89" s="800"/>
      <c r="U89" s="752"/>
      <c r="V89" s="739"/>
      <c r="W89" s="800"/>
      <c r="X89" s="752"/>
      <c r="Y89" s="739"/>
      <c r="Z89" s="800"/>
      <c r="AA89" s="752"/>
      <c r="AB89" s="739"/>
      <c r="AC89" s="800"/>
      <c r="AD89" s="752"/>
      <c r="AE89" s="739"/>
      <c r="AF89" s="800"/>
      <c r="AG89" s="752"/>
      <c r="AH89" s="739"/>
      <c r="AI89" s="800"/>
      <c r="AJ89" s="752"/>
      <c r="AK89" s="739"/>
      <c r="AL89" s="800"/>
      <c r="AM89" s="752"/>
      <c r="AN89" s="739"/>
      <c r="AO89" s="800"/>
      <c r="AP89" s="752"/>
      <c r="AQ89" s="739"/>
      <c r="AR89" s="800"/>
      <c r="AS89" s="752"/>
      <c r="AT89" s="739"/>
      <c r="AU89" s="800"/>
      <c r="AV89" s="752"/>
      <c r="AW89" s="739"/>
      <c r="AX89" s="800"/>
      <c r="AY89" s="752"/>
      <c r="AZ89" s="739"/>
      <c r="BA89" s="800"/>
      <c r="BB89" s="752"/>
      <c r="BC89" s="739"/>
      <c r="BD89" s="800"/>
      <c r="BE89" s="752"/>
      <c r="BF89" s="739"/>
      <c r="BG89" s="800"/>
      <c r="BH89" s="752"/>
      <c r="BI89" s="739">
        <f t="shared" si="155"/>
        <v>0</v>
      </c>
      <c r="BJ89" s="800">
        <f t="shared" si="155"/>
        <v>0</v>
      </c>
      <c r="BK89" s="752">
        <f t="shared" si="155"/>
        <v>0</v>
      </c>
      <c r="BL89" s="739"/>
      <c r="BM89" s="800"/>
      <c r="BN89" s="752"/>
      <c r="BO89" s="739"/>
      <c r="BP89" s="800"/>
      <c r="BQ89" s="752"/>
      <c r="BR89" s="739"/>
      <c r="BS89" s="800"/>
      <c r="BT89" s="752"/>
      <c r="BU89" s="739"/>
      <c r="BV89" s="800"/>
      <c r="BW89" s="752"/>
      <c r="BX89" s="739"/>
      <c r="BY89" s="800"/>
      <c r="BZ89" s="752"/>
      <c r="CA89" s="739"/>
      <c r="CB89" s="800"/>
      <c r="CC89" s="752"/>
      <c r="CD89" s="739"/>
      <c r="CE89" s="800"/>
      <c r="CF89" s="752"/>
      <c r="CG89" s="739"/>
      <c r="CH89" s="800"/>
      <c r="CI89" s="752"/>
      <c r="CJ89" s="739"/>
      <c r="CK89" s="800"/>
      <c r="CL89" s="752"/>
      <c r="CM89" s="739">
        <f t="shared" si="156"/>
        <v>0</v>
      </c>
      <c r="CN89" s="800">
        <f t="shared" si="156"/>
        <v>0</v>
      </c>
      <c r="CO89" s="752">
        <f t="shared" si="156"/>
        <v>0</v>
      </c>
      <c r="CP89" s="739">
        <f t="shared" si="150"/>
        <v>0</v>
      </c>
      <c r="CQ89" s="800">
        <f t="shared" si="151"/>
        <v>0</v>
      </c>
      <c r="CR89" s="752">
        <f t="shared" si="152"/>
        <v>0</v>
      </c>
      <c r="CS89" s="739"/>
      <c r="CT89" s="800"/>
      <c r="CU89" s="752"/>
      <c r="CV89" s="739"/>
      <c r="CW89" s="800"/>
      <c r="CX89" s="752"/>
      <c r="CY89" s="739"/>
      <c r="CZ89" s="800"/>
      <c r="DA89" s="752"/>
      <c r="DB89" s="739"/>
      <c r="DC89" s="800"/>
      <c r="DD89" s="752"/>
      <c r="DE89" s="739">
        <f t="shared" si="157"/>
        <v>0</v>
      </c>
      <c r="DF89" s="800">
        <f t="shared" si="157"/>
        <v>0</v>
      </c>
      <c r="DG89" s="752">
        <f t="shared" si="157"/>
        <v>0</v>
      </c>
      <c r="DH89" s="739"/>
      <c r="DI89" s="800"/>
      <c r="DJ89" s="752"/>
      <c r="DK89" s="739"/>
      <c r="DL89" s="800"/>
      <c r="DM89" s="752"/>
      <c r="DN89" s="739">
        <f t="shared" si="158"/>
        <v>0</v>
      </c>
      <c r="DO89" s="800">
        <f t="shared" si="158"/>
        <v>0</v>
      </c>
      <c r="DP89" s="752">
        <f t="shared" si="158"/>
        <v>0</v>
      </c>
      <c r="DQ89" s="829">
        <v>0</v>
      </c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</row>
    <row r="90" spans="1:218" ht="12.75" customHeight="1">
      <c r="A90" s="735" t="s">
        <v>111</v>
      </c>
      <c r="B90" s="736" t="s">
        <v>115</v>
      </c>
      <c r="C90" s="1978"/>
      <c r="D90" s="739">
        <f aca="true" t="shared" si="159" ref="D90:AI90">SUM(D91:D95)</f>
        <v>0</v>
      </c>
      <c r="E90" s="800">
        <f t="shared" si="159"/>
        <v>780117</v>
      </c>
      <c r="F90" s="752">
        <f t="shared" si="159"/>
        <v>190481.46000000002</v>
      </c>
      <c r="G90" s="739">
        <f t="shared" si="159"/>
        <v>0</v>
      </c>
      <c r="H90" s="800">
        <f t="shared" si="159"/>
        <v>420006</v>
      </c>
      <c r="I90" s="752">
        <f t="shared" si="159"/>
        <v>187974.48500000002</v>
      </c>
      <c r="J90" s="739">
        <f t="shared" si="159"/>
        <v>0</v>
      </c>
      <c r="K90" s="800">
        <f t="shared" si="159"/>
        <v>1053</v>
      </c>
      <c r="L90" s="752">
        <f t="shared" si="159"/>
        <v>1052.398</v>
      </c>
      <c r="M90" s="739">
        <f t="shared" si="159"/>
        <v>0</v>
      </c>
      <c r="N90" s="800">
        <f t="shared" si="159"/>
        <v>13276</v>
      </c>
      <c r="O90" s="752">
        <f t="shared" si="159"/>
        <v>0</v>
      </c>
      <c r="P90" s="739">
        <f t="shared" si="159"/>
        <v>0</v>
      </c>
      <c r="Q90" s="800">
        <f t="shared" si="159"/>
        <v>0</v>
      </c>
      <c r="R90" s="752">
        <f t="shared" si="159"/>
        <v>0</v>
      </c>
      <c r="S90" s="739">
        <f t="shared" si="159"/>
        <v>0</v>
      </c>
      <c r="T90" s="800">
        <f t="shared" si="159"/>
        <v>24031</v>
      </c>
      <c r="U90" s="752">
        <f t="shared" si="159"/>
        <v>9099.042</v>
      </c>
      <c r="V90" s="739">
        <f t="shared" si="159"/>
        <v>0</v>
      </c>
      <c r="W90" s="800">
        <f t="shared" si="159"/>
        <v>409392</v>
      </c>
      <c r="X90" s="752">
        <f t="shared" si="159"/>
        <v>231757.879</v>
      </c>
      <c r="Y90" s="739">
        <f t="shared" si="159"/>
        <v>0</v>
      </c>
      <c r="Z90" s="800">
        <f t="shared" si="159"/>
        <v>170333</v>
      </c>
      <c r="AA90" s="752">
        <f t="shared" si="159"/>
        <v>12150.7</v>
      </c>
      <c r="AB90" s="739">
        <f t="shared" si="159"/>
        <v>0</v>
      </c>
      <c r="AC90" s="800">
        <f t="shared" si="159"/>
        <v>0</v>
      </c>
      <c r="AD90" s="752">
        <f t="shared" si="159"/>
        <v>0</v>
      </c>
      <c r="AE90" s="739">
        <f t="shared" si="159"/>
        <v>0</v>
      </c>
      <c r="AF90" s="800">
        <f t="shared" si="159"/>
        <v>35000</v>
      </c>
      <c r="AG90" s="752">
        <f t="shared" si="159"/>
        <v>15650.662</v>
      </c>
      <c r="AH90" s="739">
        <f t="shared" si="159"/>
        <v>0</v>
      </c>
      <c r="AI90" s="800">
        <f t="shared" si="159"/>
        <v>65229</v>
      </c>
      <c r="AJ90" s="752">
        <f aca="true" t="shared" si="160" ref="AJ90:BO90">SUM(AJ91:AJ95)</f>
        <v>55229.258</v>
      </c>
      <c r="AK90" s="739">
        <f t="shared" si="160"/>
        <v>0</v>
      </c>
      <c r="AL90" s="800">
        <f t="shared" si="160"/>
        <v>0</v>
      </c>
      <c r="AM90" s="752">
        <f t="shared" si="160"/>
        <v>0</v>
      </c>
      <c r="AN90" s="739">
        <f t="shared" si="160"/>
        <v>0</v>
      </c>
      <c r="AO90" s="800">
        <f t="shared" si="160"/>
        <v>158131</v>
      </c>
      <c r="AP90" s="752">
        <f t="shared" si="160"/>
        <v>61286.152</v>
      </c>
      <c r="AQ90" s="739">
        <f t="shared" si="160"/>
        <v>0</v>
      </c>
      <c r="AR90" s="800">
        <f t="shared" si="160"/>
        <v>40060</v>
      </c>
      <c r="AS90" s="752">
        <f t="shared" si="160"/>
        <v>60</v>
      </c>
      <c r="AT90" s="739">
        <f t="shared" si="160"/>
        <v>0</v>
      </c>
      <c r="AU90" s="800">
        <f t="shared" si="160"/>
        <v>0</v>
      </c>
      <c r="AV90" s="752">
        <f t="shared" si="160"/>
        <v>0</v>
      </c>
      <c r="AW90" s="739">
        <f t="shared" si="160"/>
        <v>0</v>
      </c>
      <c r="AX90" s="800">
        <f t="shared" si="160"/>
        <v>52877</v>
      </c>
      <c r="AY90" s="752">
        <f t="shared" si="160"/>
        <v>-40774.477</v>
      </c>
      <c r="AZ90" s="739">
        <f t="shared" si="160"/>
        <v>0</v>
      </c>
      <c r="BA90" s="800">
        <f t="shared" si="160"/>
        <v>0</v>
      </c>
      <c r="BB90" s="752">
        <f t="shared" si="160"/>
        <v>0</v>
      </c>
      <c r="BC90" s="739">
        <f t="shared" si="160"/>
        <v>850000</v>
      </c>
      <c r="BD90" s="800">
        <f t="shared" si="160"/>
        <v>1292992.6809999999</v>
      </c>
      <c r="BE90" s="752">
        <f t="shared" si="160"/>
        <v>389138.27400000003</v>
      </c>
      <c r="BF90" s="739">
        <f t="shared" si="160"/>
        <v>0</v>
      </c>
      <c r="BG90" s="800">
        <f t="shared" si="160"/>
        <v>806524</v>
      </c>
      <c r="BH90" s="752">
        <f t="shared" si="160"/>
        <v>750629.3350000001</v>
      </c>
      <c r="BI90" s="739">
        <f t="shared" si="160"/>
        <v>850000</v>
      </c>
      <c r="BJ90" s="800">
        <f t="shared" si="160"/>
        <v>4269021.681</v>
      </c>
      <c r="BK90" s="752">
        <f t="shared" si="160"/>
        <v>1863735.1680000003</v>
      </c>
      <c r="BL90" s="739">
        <f t="shared" si="160"/>
        <v>0</v>
      </c>
      <c r="BM90" s="800">
        <f t="shared" si="160"/>
        <v>238</v>
      </c>
      <c r="BN90" s="752">
        <f t="shared" si="160"/>
        <v>237.49</v>
      </c>
      <c r="BO90" s="739">
        <f t="shared" si="160"/>
        <v>0</v>
      </c>
      <c r="BP90" s="800">
        <f aca="true" t="shared" si="161" ref="BP90:CO90">SUM(BP91:BP95)</f>
        <v>10691</v>
      </c>
      <c r="BQ90" s="752">
        <f t="shared" si="161"/>
        <v>10687.718</v>
      </c>
      <c r="BR90" s="739">
        <f t="shared" si="161"/>
        <v>0</v>
      </c>
      <c r="BS90" s="800">
        <f t="shared" si="161"/>
        <v>0</v>
      </c>
      <c r="BT90" s="752">
        <f t="shared" si="161"/>
        <v>0</v>
      </c>
      <c r="BU90" s="739">
        <f t="shared" si="161"/>
        <v>0</v>
      </c>
      <c r="BV90" s="800">
        <f t="shared" si="161"/>
        <v>10603</v>
      </c>
      <c r="BW90" s="752">
        <f t="shared" si="161"/>
        <v>10602.894</v>
      </c>
      <c r="BX90" s="739">
        <f t="shared" si="161"/>
        <v>0</v>
      </c>
      <c r="BY90" s="800">
        <f t="shared" si="161"/>
        <v>0</v>
      </c>
      <c r="BZ90" s="752">
        <f t="shared" si="161"/>
        <v>0</v>
      </c>
      <c r="CA90" s="739">
        <f t="shared" si="161"/>
        <v>0</v>
      </c>
      <c r="CB90" s="800">
        <f t="shared" si="161"/>
        <v>13435.319</v>
      </c>
      <c r="CC90" s="752">
        <f t="shared" si="161"/>
        <v>13435.019</v>
      </c>
      <c r="CD90" s="739">
        <f t="shared" si="161"/>
        <v>0</v>
      </c>
      <c r="CE90" s="800">
        <f t="shared" si="161"/>
        <v>406401</v>
      </c>
      <c r="CF90" s="752">
        <f t="shared" si="161"/>
        <v>15735.026</v>
      </c>
      <c r="CG90" s="739">
        <f t="shared" si="161"/>
        <v>0</v>
      </c>
      <c r="CH90" s="800">
        <f t="shared" si="161"/>
        <v>0</v>
      </c>
      <c r="CI90" s="752">
        <f t="shared" si="161"/>
        <v>0</v>
      </c>
      <c r="CJ90" s="739">
        <f t="shared" si="161"/>
        <v>0</v>
      </c>
      <c r="CK90" s="800">
        <f t="shared" si="161"/>
        <v>74758</v>
      </c>
      <c r="CL90" s="752">
        <f t="shared" si="161"/>
        <v>21837.506</v>
      </c>
      <c r="CM90" s="739">
        <f t="shared" si="161"/>
        <v>0</v>
      </c>
      <c r="CN90" s="800">
        <f t="shared" si="161"/>
        <v>516126.319</v>
      </c>
      <c r="CO90" s="752">
        <f t="shared" si="161"/>
        <v>72535.65299999999</v>
      </c>
      <c r="CP90" s="739">
        <f t="shared" si="150"/>
        <v>850000</v>
      </c>
      <c r="CQ90" s="800">
        <f t="shared" si="151"/>
        <v>4785148</v>
      </c>
      <c r="CR90" s="752">
        <f t="shared" si="152"/>
        <v>1936270.8210000002</v>
      </c>
      <c r="CS90" s="739">
        <f aca="true" t="shared" si="162" ref="CS90:DL90">SUM(CS91:CS95)</f>
        <v>0</v>
      </c>
      <c r="CT90" s="800">
        <f t="shared" si="162"/>
        <v>1602</v>
      </c>
      <c r="CU90" s="752">
        <f t="shared" si="162"/>
        <v>1601.934</v>
      </c>
      <c r="CV90" s="739">
        <f t="shared" si="162"/>
        <v>0</v>
      </c>
      <c r="CW90" s="800">
        <f t="shared" si="162"/>
        <v>0</v>
      </c>
      <c r="CX90" s="752">
        <f t="shared" si="162"/>
        <v>0</v>
      </c>
      <c r="CY90" s="739">
        <f t="shared" si="162"/>
        <v>0</v>
      </c>
      <c r="CZ90" s="800">
        <f t="shared" si="162"/>
        <v>182</v>
      </c>
      <c r="DA90" s="752">
        <f t="shared" si="162"/>
        <v>181.866</v>
      </c>
      <c r="DB90" s="739">
        <f t="shared" si="162"/>
        <v>0</v>
      </c>
      <c r="DC90" s="800">
        <f t="shared" si="162"/>
        <v>91414</v>
      </c>
      <c r="DD90" s="752">
        <f t="shared" si="162"/>
        <v>65035.305</v>
      </c>
      <c r="DE90" s="739">
        <f t="shared" si="162"/>
        <v>0</v>
      </c>
      <c r="DF90" s="800">
        <f t="shared" si="162"/>
        <v>93198</v>
      </c>
      <c r="DG90" s="752">
        <f t="shared" si="162"/>
        <v>66819.105</v>
      </c>
      <c r="DH90" s="739">
        <f t="shared" si="162"/>
        <v>0</v>
      </c>
      <c r="DI90" s="800">
        <f t="shared" si="162"/>
        <v>6506</v>
      </c>
      <c r="DJ90" s="752">
        <f t="shared" si="162"/>
        <v>5930</v>
      </c>
      <c r="DK90" s="739">
        <f t="shared" si="162"/>
        <v>0</v>
      </c>
      <c r="DL90" s="800">
        <f t="shared" si="162"/>
        <v>58639</v>
      </c>
      <c r="DM90" s="752">
        <f>SUM(DM91:DM95)</f>
        <v>55445</v>
      </c>
      <c r="DN90" s="739">
        <f t="shared" si="158"/>
        <v>850000</v>
      </c>
      <c r="DO90" s="800">
        <f t="shared" si="158"/>
        <v>4943491</v>
      </c>
      <c r="DP90" s="752">
        <f t="shared" si="158"/>
        <v>2064464.9260000002</v>
      </c>
      <c r="DQ90" s="832">
        <f>DP90/DO90*100</f>
        <v>41.761276110343886</v>
      </c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  <c r="GC90" s="154"/>
      <c r="GD90" s="154"/>
      <c r="GE90" s="154"/>
      <c r="GF90" s="154"/>
      <c r="GG90" s="154"/>
      <c r="GH90" s="154"/>
      <c r="GI90" s="154"/>
      <c r="GJ90" s="154"/>
      <c r="GK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  <c r="HF90" s="154"/>
      <c r="HG90" s="154"/>
      <c r="HH90" s="154"/>
      <c r="HI90" s="154"/>
      <c r="HJ90" s="154"/>
    </row>
    <row r="91" spans="1:218" ht="12.75" customHeight="1">
      <c r="A91" s="735"/>
      <c r="B91" s="736" t="s">
        <v>256</v>
      </c>
      <c r="C91" s="1978"/>
      <c r="D91" s="748"/>
      <c r="E91" s="809">
        <v>65708</v>
      </c>
      <c r="F91" s="761">
        <v>65617.932</v>
      </c>
      <c r="G91" s="748"/>
      <c r="H91" s="809">
        <v>36599</v>
      </c>
      <c r="I91" s="761">
        <v>10076.695</v>
      </c>
      <c r="J91" s="748"/>
      <c r="K91" s="809">
        <v>1053</v>
      </c>
      <c r="L91" s="761">
        <v>1052.398</v>
      </c>
      <c r="M91" s="748"/>
      <c r="N91" s="809">
        <v>13276</v>
      </c>
      <c r="O91" s="761">
        <v>0</v>
      </c>
      <c r="P91" s="748"/>
      <c r="Q91" s="809"/>
      <c r="R91" s="761"/>
      <c r="S91" s="748"/>
      <c r="T91" s="809">
        <v>82</v>
      </c>
      <c r="U91" s="761">
        <v>82.042</v>
      </c>
      <c r="V91" s="748"/>
      <c r="W91" s="809">
        <v>109701</v>
      </c>
      <c r="X91" s="761">
        <v>635</v>
      </c>
      <c r="Y91" s="748"/>
      <c r="Z91" s="809">
        <v>44269</v>
      </c>
      <c r="AA91" s="761">
        <v>12150.7</v>
      </c>
      <c r="AB91" s="748"/>
      <c r="AC91" s="809"/>
      <c r="AD91" s="761"/>
      <c r="AE91" s="748"/>
      <c r="AF91" s="809">
        <v>19349</v>
      </c>
      <c r="AG91" s="761"/>
      <c r="AH91" s="748"/>
      <c r="AI91" s="809">
        <v>46469</v>
      </c>
      <c r="AJ91" s="761">
        <v>46469.445</v>
      </c>
      <c r="AK91" s="748"/>
      <c r="AL91" s="809"/>
      <c r="AM91" s="761"/>
      <c r="AN91" s="748"/>
      <c r="AO91" s="809">
        <v>62035</v>
      </c>
      <c r="AP91" s="761">
        <v>61286.152</v>
      </c>
      <c r="AQ91" s="748"/>
      <c r="AR91" s="809">
        <v>60</v>
      </c>
      <c r="AS91" s="761">
        <v>60</v>
      </c>
      <c r="AT91" s="748"/>
      <c r="AU91" s="809"/>
      <c r="AV91" s="761"/>
      <c r="AW91" s="748"/>
      <c r="AX91" s="809">
        <v>14119</v>
      </c>
      <c r="AY91" s="761">
        <v>13876.059</v>
      </c>
      <c r="AZ91" s="748"/>
      <c r="BA91" s="809"/>
      <c r="BB91" s="761"/>
      <c r="BC91" s="748"/>
      <c r="BD91" s="809">
        <v>352426</v>
      </c>
      <c r="BE91" s="761">
        <v>331926.874</v>
      </c>
      <c r="BF91" s="748"/>
      <c r="BG91" s="809">
        <v>671</v>
      </c>
      <c r="BH91" s="761">
        <v>638.427</v>
      </c>
      <c r="BI91" s="748">
        <f aca="true" t="shared" si="163" ref="BI91:BK94">D91+G91+J91+M91+P91+S91+V91+Y91+AB91+AE91+AH91+AK91+AN91+AQ91+AT91+AW91+AZ91+BC91+BF91</f>
        <v>0</v>
      </c>
      <c r="BJ91" s="809">
        <f t="shared" si="163"/>
        <v>765817</v>
      </c>
      <c r="BK91" s="761">
        <f t="shared" si="163"/>
        <v>543871.724</v>
      </c>
      <c r="BL91" s="748"/>
      <c r="BM91" s="809">
        <v>64</v>
      </c>
      <c r="BN91" s="761">
        <v>63.5</v>
      </c>
      <c r="BO91" s="748"/>
      <c r="BP91" s="809">
        <v>10691</v>
      </c>
      <c r="BQ91" s="761">
        <v>10687.718</v>
      </c>
      <c r="BR91" s="748"/>
      <c r="BS91" s="809"/>
      <c r="BT91" s="761"/>
      <c r="BU91" s="748"/>
      <c r="BV91" s="809">
        <v>1205</v>
      </c>
      <c r="BW91" s="761">
        <v>1204.894</v>
      </c>
      <c r="BX91" s="748"/>
      <c r="BY91" s="809"/>
      <c r="BZ91" s="761"/>
      <c r="CA91" s="748"/>
      <c r="CB91" s="809"/>
      <c r="CC91" s="761"/>
      <c r="CD91" s="748"/>
      <c r="CE91" s="809">
        <v>6401</v>
      </c>
      <c r="CF91" s="761">
        <v>5829.026</v>
      </c>
      <c r="CG91" s="748"/>
      <c r="CH91" s="809"/>
      <c r="CI91" s="761"/>
      <c r="CJ91" s="748"/>
      <c r="CK91" s="809">
        <v>1622</v>
      </c>
      <c r="CL91" s="761">
        <v>1389.127</v>
      </c>
      <c r="CM91" s="748">
        <f aca="true" t="shared" si="164" ref="CM91:CO94">BL91+BO91+BR91+BU91+BX91+CA91+CD91+CG91+CJ91</f>
        <v>0</v>
      </c>
      <c r="CN91" s="809">
        <f t="shared" si="164"/>
        <v>19983</v>
      </c>
      <c r="CO91" s="761">
        <f t="shared" si="164"/>
        <v>19174.265</v>
      </c>
      <c r="CP91" s="748">
        <f t="shared" si="150"/>
        <v>0</v>
      </c>
      <c r="CQ91" s="809">
        <f t="shared" si="151"/>
        <v>785800</v>
      </c>
      <c r="CR91" s="761">
        <f t="shared" si="152"/>
        <v>563045.9890000001</v>
      </c>
      <c r="CS91" s="748"/>
      <c r="CT91" s="809">
        <v>1602</v>
      </c>
      <c r="CU91" s="761">
        <v>1601.934</v>
      </c>
      <c r="CV91" s="748"/>
      <c r="CW91" s="809"/>
      <c r="CX91" s="761"/>
      <c r="CY91" s="748"/>
      <c r="CZ91" s="809">
        <v>182</v>
      </c>
      <c r="DA91" s="761">
        <v>181.866</v>
      </c>
      <c r="DB91" s="748"/>
      <c r="DC91" s="809">
        <v>29603</v>
      </c>
      <c r="DD91" s="761">
        <f>17984.16+400-0.3</f>
        <v>18383.86</v>
      </c>
      <c r="DE91" s="748">
        <f aca="true" t="shared" si="165" ref="DE91:DG94">CS91+CV91+CY91+DB91</f>
        <v>0</v>
      </c>
      <c r="DF91" s="809">
        <f t="shared" si="165"/>
        <v>31387</v>
      </c>
      <c r="DG91" s="761">
        <f t="shared" si="165"/>
        <v>20167.66</v>
      </c>
      <c r="DH91" s="748"/>
      <c r="DI91" s="809">
        <v>6506</v>
      </c>
      <c r="DJ91" s="761">
        <f>'6_sz_tábla B.'!M50</f>
        <v>5944</v>
      </c>
      <c r="DK91" s="748"/>
      <c r="DL91" s="809">
        <v>50655</v>
      </c>
      <c r="DM91" s="761">
        <v>50655</v>
      </c>
      <c r="DN91" s="748">
        <f t="shared" si="158"/>
        <v>0</v>
      </c>
      <c r="DO91" s="809">
        <f t="shared" si="158"/>
        <v>874348</v>
      </c>
      <c r="DP91" s="761">
        <f t="shared" si="158"/>
        <v>639812.6490000001</v>
      </c>
      <c r="DQ91" s="1986">
        <f>DP91/DO91*100</f>
        <v>73.17597215296428</v>
      </c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  <c r="HF91" s="154"/>
      <c r="HG91" s="154"/>
      <c r="HH91" s="154"/>
      <c r="HI91" s="154"/>
      <c r="HJ91" s="154"/>
    </row>
    <row r="92" spans="1:218" ht="12.75" customHeight="1">
      <c r="A92" s="735"/>
      <c r="B92" s="736" t="s">
        <v>257</v>
      </c>
      <c r="C92" s="1978"/>
      <c r="D92" s="748"/>
      <c r="E92" s="809">
        <v>714409</v>
      </c>
      <c r="F92" s="761">
        <v>124863.528</v>
      </c>
      <c r="G92" s="748"/>
      <c r="H92" s="809">
        <v>183407</v>
      </c>
      <c r="I92" s="761">
        <v>177897.79</v>
      </c>
      <c r="J92" s="748"/>
      <c r="K92" s="809"/>
      <c r="L92" s="761"/>
      <c r="M92" s="748"/>
      <c r="N92" s="809"/>
      <c r="O92" s="761"/>
      <c r="P92" s="748"/>
      <c r="Q92" s="809"/>
      <c r="R92" s="761"/>
      <c r="S92" s="748"/>
      <c r="T92" s="809">
        <v>23949</v>
      </c>
      <c r="U92" s="761">
        <v>9017</v>
      </c>
      <c r="V92" s="748"/>
      <c r="W92" s="809">
        <v>299690</v>
      </c>
      <c r="X92" s="761">
        <v>231122.879</v>
      </c>
      <c r="Y92" s="748"/>
      <c r="Z92" s="809">
        <v>126064</v>
      </c>
      <c r="AA92" s="761">
        <v>0</v>
      </c>
      <c r="AB92" s="748"/>
      <c r="AC92" s="809"/>
      <c r="AD92" s="761"/>
      <c r="AE92" s="748"/>
      <c r="AF92" s="809">
        <v>15651</v>
      </c>
      <c r="AG92" s="761">
        <v>15650.662</v>
      </c>
      <c r="AH92" s="748"/>
      <c r="AI92" s="809">
        <v>8760</v>
      </c>
      <c r="AJ92" s="761">
        <v>8759.813</v>
      </c>
      <c r="AK92" s="748"/>
      <c r="AL92" s="809"/>
      <c r="AM92" s="761"/>
      <c r="AN92" s="748"/>
      <c r="AO92" s="809">
        <v>6096</v>
      </c>
      <c r="AP92" s="761"/>
      <c r="AQ92" s="748"/>
      <c r="AR92" s="809"/>
      <c r="AS92" s="761"/>
      <c r="AT92" s="748"/>
      <c r="AU92" s="809"/>
      <c r="AV92" s="761"/>
      <c r="AW92" s="748"/>
      <c r="AX92" s="809">
        <v>38758</v>
      </c>
      <c r="AY92" s="761">
        <v>21181.464</v>
      </c>
      <c r="AZ92" s="748"/>
      <c r="BA92" s="809"/>
      <c r="BB92" s="761"/>
      <c r="BC92" s="748"/>
      <c r="BD92" s="809">
        <v>63153.681</v>
      </c>
      <c r="BE92" s="761">
        <v>57211.4</v>
      </c>
      <c r="BF92" s="748"/>
      <c r="BG92" s="809"/>
      <c r="BH92" s="761"/>
      <c r="BI92" s="748">
        <f t="shared" si="163"/>
        <v>0</v>
      </c>
      <c r="BJ92" s="809">
        <f t="shared" si="163"/>
        <v>1479937.681</v>
      </c>
      <c r="BK92" s="761">
        <f t="shared" si="163"/>
        <v>645704.5360000001</v>
      </c>
      <c r="BL92" s="748"/>
      <c r="BM92" s="809">
        <v>174</v>
      </c>
      <c r="BN92" s="761">
        <v>173.99</v>
      </c>
      <c r="BO92" s="748"/>
      <c r="BP92" s="809"/>
      <c r="BQ92" s="761"/>
      <c r="BR92" s="748"/>
      <c r="BS92" s="809"/>
      <c r="BT92" s="761"/>
      <c r="BU92" s="748"/>
      <c r="BV92" s="809">
        <v>9398</v>
      </c>
      <c r="BW92" s="761">
        <v>9398</v>
      </c>
      <c r="BX92" s="748"/>
      <c r="BY92" s="809"/>
      <c r="BZ92" s="761"/>
      <c r="CA92" s="748"/>
      <c r="CB92" s="809">
        <v>13435.319</v>
      </c>
      <c r="CC92" s="761">
        <f>13435.319-0.3</f>
        <v>13435.019</v>
      </c>
      <c r="CD92" s="748"/>
      <c r="CE92" s="809">
        <v>9906</v>
      </c>
      <c r="CF92" s="761">
        <v>9906</v>
      </c>
      <c r="CG92" s="748"/>
      <c r="CH92" s="809"/>
      <c r="CI92" s="761"/>
      <c r="CJ92" s="748"/>
      <c r="CK92" s="809">
        <v>73136</v>
      </c>
      <c r="CL92" s="761">
        <v>20448.379</v>
      </c>
      <c r="CM92" s="748">
        <f t="shared" si="164"/>
        <v>0</v>
      </c>
      <c r="CN92" s="809">
        <f t="shared" si="164"/>
        <v>106049.319</v>
      </c>
      <c r="CO92" s="761">
        <f t="shared" si="164"/>
        <v>53361.388</v>
      </c>
      <c r="CP92" s="748">
        <f t="shared" si="150"/>
        <v>0</v>
      </c>
      <c r="CQ92" s="809">
        <f t="shared" si="151"/>
        <v>1585987</v>
      </c>
      <c r="CR92" s="761">
        <f t="shared" si="152"/>
        <v>699065.9240000001</v>
      </c>
      <c r="CS92" s="748"/>
      <c r="CT92" s="809"/>
      <c r="CU92" s="761"/>
      <c r="CV92" s="748"/>
      <c r="CW92" s="809"/>
      <c r="CX92" s="761"/>
      <c r="CY92" s="748"/>
      <c r="CZ92" s="809"/>
      <c r="DA92" s="761"/>
      <c r="DB92" s="748"/>
      <c r="DC92" s="809">
        <v>61811</v>
      </c>
      <c r="DD92" s="761">
        <f>47035.645-0.2</f>
        <v>47035.445</v>
      </c>
      <c r="DE92" s="748">
        <f t="shared" si="165"/>
        <v>0</v>
      </c>
      <c r="DF92" s="809">
        <f t="shared" si="165"/>
        <v>61811</v>
      </c>
      <c r="DG92" s="761">
        <f t="shared" si="165"/>
        <v>47035.445</v>
      </c>
      <c r="DH92" s="748"/>
      <c r="DI92" s="809"/>
      <c r="DJ92" s="761"/>
      <c r="DK92" s="748"/>
      <c r="DL92" s="809">
        <v>7984</v>
      </c>
      <c r="DM92" s="761">
        <v>4410</v>
      </c>
      <c r="DN92" s="748">
        <f t="shared" si="158"/>
        <v>0</v>
      </c>
      <c r="DO92" s="809">
        <f t="shared" si="158"/>
        <v>1655782</v>
      </c>
      <c r="DP92" s="761">
        <f t="shared" si="158"/>
        <v>750511.3690000001</v>
      </c>
      <c r="DQ92" s="1986">
        <f>DP92/DO92*100</f>
        <v>45.32670176387955</v>
      </c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</row>
    <row r="93" spans="1:218" ht="12.75" customHeight="1">
      <c r="A93" s="735"/>
      <c r="B93" s="736" t="s">
        <v>259</v>
      </c>
      <c r="C93" s="1978"/>
      <c r="D93" s="748"/>
      <c r="E93" s="809"/>
      <c r="F93" s="761"/>
      <c r="G93" s="748"/>
      <c r="H93" s="809"/>
      <c r="I93" s="761"/>
      <c r="J93" s="748"/>
      <c r="K93" s="809"/>
      <c r="L93" s="761"/>
      <c r="M93" s="748"/>
      <c r="N93" s="809"/>
      <c r="O93" s="761"/>
      <c r="P93" s="748"/>
      <c r="Q93" s="809"/>
      <c r="R93" s="761"/>
      <c r="S93" s="748"/>
      <c r="T93" s="809"/>
      <c r="U93" s="761"/>
      <c r="V93" s="748"/>
      <c r="W93" s="809"/>
      <c r="X93" s="761"/>
      <c r="Y93" s="748"/>
      <c r="Z93" s="809"/>
      <c r="AA93" s="761"/>
      <c r="AB93" s="748"/>
      <c r="AC93" s="809"/>
      <c r="AD93" s="761"/>
      <c r="AE93" s="748"/>
      <c r="AF93" s="809"/>
      <c r="AG93" s="761"/>
      <c r="AH93" s="748"/>
      <c r="AI93" s="809"/>
      <c r="AJ93" s="761"/>
      <c r="AK93" s="748"/>
      <c r="AL93" s="809"/>
      <c r="AM93" s="761"/>
      <c r="AN93" s="748"/>
      <c r="AO93" s="809"/>
      <c r="AP93" s="761"/>
      <c r="AQ93" s="748"/>
      <c r="AR93" s="809"/>
      <c r="AS93" s="761"/>
      <c r="AT93" s="748"/>
      <c r="AU93" s="809"/>
      <c r="AV93" s="761"/>
      <c r="AW93" s="748"/>
      <c r="AX93" s="809"/>
      <c r="AY93" s="761"/>
      <c r="AZ93" s="748"/>
      <c r="BA93" s="809"/>
      <c r="BB93" s="761"/>
      <c r="BC93" s="748"/>
      <c r="BD93" s="809">
        <v>5785</v>
      </c>
      <c r="BE93" s="761">
        <v>0</v>
      </c>
      <c r="BF93" s="748"/>
      <c r="BG93" s="809"/>
      <c r="BH93" s="761"/>
      <c r="BI93" s="748">
        <f t="shared" si="163"/>
        <v>0</v>
      </c>
      <c r="BJ93" s="809">
        <f t="shared" si="163"/>
        <v>5785</v>
      </c>
      <c r="BK93" s="761">
        <f t="shared" si="163"/>
        <v>0</v>
      </c>
      <c r="BL93" s="748"/>
      <c r="BM93" s="809"/>
      <c r="BN93" s="761"/>
      <c r="BO93" s="748"/>
      <c r="BP93" s="809"/>
      <c r="BQ93" s="761"/>
      <c r="BR93" s="748"/>
      <c r="BS93" s="809"/>
      <c r="BT93" s="761"/>
      <c r="BU93" s="748"/>
      <c r="BV93" s="809"/>
      <c r="BW93" s="761"/>
      <c r="BX93" s="748"/>
      <c r="BY93" s="809"/>
      <c r="BZ93" s="761"/>
      <c r="CA93" s="748"/>
      <c r="CB93" s="809"/>
      <c r="CC93" s="761"/>
      <c r="CD93" s="748"/>
      <c r="CE93" s="809"/>
      <c r="CF93" s="761">
        <v>0</v>
      </c>
      <c r="CG93" s="748"/>
      <c r="CH93" s="809"/>
      <c r="CI93" s="761"/>
      <c r="CJ93" s="748"/>
      <c r="CK93" s="809"/>
      <c r="CL93" s="761"/>
      <c r="CM93" s="748">
        <f t="shared" si="164"/>
        <v>0</v>
      </c>
      <c r="CN93" s="809">
        <f t="shared" si="164"/>
        <v>0</v>
      </c>
      <c r="CO93" s="761">
        <f t="shared" si="164"/>
        <v>0</v>
      </c>
      <c r="CP93" s="748">
        <f t="shared" si="150"/>
        <v>0</v>
      </c>
      <c r="CQ93" s="809">
        <f t="shared" si="151"/>
        <v>5785</v>
      </c>
      <c r="CR93" s="761">
        <f t="shared" si="152"/>
        <v>0</v>
      </c>
      <c r="CS93" s="748"/>
      <c r="CT93" s="809"/>
      <c r="CU93" s="761"/>
      <c r="CV93" s="748"/>
      <c r="CW93" s="809"/>
      <c r="CX93" s="761"/>
      <c r="CY93" s="748"/>
      <c r="CZ93" s="809"/>
      <c r="DA93" s="761"/>
      <c r="DB93" s="748"/>
      <c r="DC93" s="809"/>
      <c r="DD93" s="761"/>
      <c r="DE93" s="748">
        <f t="shared" si="165"/>
        <v>0</v>
      </c>
      <c r="DF93" s="809">
        <f t="shared" si="165"/>
        <v>0</v>
      </c>
      <c r="DG93" s="761">
        <f t="shared" si="165"/>
        <v>0</v>
      </c>
      <c r="DH93" s="748"/>
      <c r="DI93" s="809"/>
      <c r="DJ93" s="761"/>
      <c r="DK93" s="748"/>
      <c r="DL93" s="809"/>
      <c r="DM93" s="761"/>
      <c r="DN93" s="748">
        <f t="shared" si="158"/>
        <v>0</v>
      </c>
      <c r="DO93" s="809">
        <f t="shared" si="158"/>
        <v>5785</v>
      </c>
      <c r="DP93" s="761">
        <f t="shared" si="158"/>
        <v>0</v>
      </c>
      <c r="DQ93" s="833">
        <f>DP93/DO93*100</f>
        <v>0</v>
      </c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  <c r="HF93" s="154"/>
      <c r="HG93" s="154"/>
      <c r="HH93" s="154"/>
      <c r="HI93" s="154"/>
      <c r="HJ93" s="154"/>
    </row>
    <row r="94" spans="1:218" ht="12.75" customHeight="1" thickBot="1">
      <c r="A94" s="723"/>
      <c r="B94" s="736" t="s">
        <v>258</v>
      </c>
      <c r="C94" s="1979" t="s">
        <v>182</v>
      </c>
      <c r="D94" s="748"/>
      <c r="E94" s="809"/>
      <c r="F94" s="761"/>
      <c r="G94" s="748"/>
      <c r="H94" s="809">
        <v>200000</v>
      </c>
      <c r="I94" s="761"/>
      <c r="J94" s="748"/>
      <c r="K94" s="809"/>
      <c r="L94" s="761"/>
      <c r="M94" s="748"/>
      <c r="N94" s="809"/>
      <c r="O94" s="761"/>
      <c r="P94" s="748"/>
      <c r="Q94" s="809"/>
      <c r="R94" s="761"/>
      <c r="S94" s="748"/>
      <c r="T94" s="809"/>
      <c r="U94" s="761"/>
      <c r="V94" s="748"/>
      <c r="W94" s="809">
        <v>1</v>
      </c>
      <c r="X94" s="761">
        <v>0</v>
      </c>
      <c r="Y94" s="748"/>
      <c r="Z94" s="809"/>
      <c r="AA94" s="761"/>
      <c r="AB94" s="748"/>
      <c r="AC94" s="809"/>
      <c r="AD94" s="761"/>
      <c r="AE94" s="748"/>
      <c r="AF94" s="809"/>
      <c r="AG94" s="761">
        <v>0</v>
      </c>
      <c r="AH94" s="748"/>
      <c r="AI94" s="809">
        <v>10000</v>
      </c>
      <c r="AJ94" s="761">
        <v>0</v>
      </c>
      <c r="AK94" s="748"/>
      <c r="AL94" s="809"/>
      <c r="AM94" s="761"/>
      <c r="AN94" s="748"/>
      <c r="AO94" s="809">
        <v>90000</v>
      </c>
      <c r="AP94" s="761">
        <v>0</v>
      </c>
      <c r="AQ94" s="748"/>
      <c r="AR94" s="809">
        <v>40000</v>
      </c>
      <c r="AS94" s="761">
        <v>0</v>
      </c>
      <c r="AT94" s="748"/>
      <c r="AU94" s="809"/>
      <c r="AV94" s="761"/>
      <c r="AW94" s="748"/>
      <c r="AX94" s="809"/>
      <c r="AY94" s="761"/>
      <c r="AZ94" s="748"/>
      <c r="BA94" s="809"/>
      <c r="BB94" s="761"/>
      <c r="BC94" s="748">
        <v>850000</v>
      </c>
      <c r="BD94" s="809">
        <v>871628</v>
      </c>
      <c r="BE94" s="761">
        <v>0</v>
      </c>
      <c r="BF94" s="748"/>
      <c r="BG94" s="809">
        <v>805853</v>
      </c>
      <c r="BH94" s="761">
        <v>749990.908</v>
      </c>
      <c r="BI94" s="748">
        <f t="shared" si="163"/>
        <v>850000</v>
      </c>
      <c r="BJ94" s="809">
        <f t="shared" si="163"/>
        <v>2017482</v>
      </c>
      <c r="BK94" s="761">
        <f t="shared" si="163"/>
        <v>749990.908</v>
      </c>
      <c r="BL94" s="748"/>
      <c r="BM94" s="809"/>
      <c r="BN94" s="761"/>
      <c r="BO94" s="748"/>
      <c r="BP94" s="809"/>
      <c r="BQ94" s="761"/>
      <c r="BR94" s="748"/>
      <c r="BS94" s="809"/>
      <c r="BT94" s="761"/>
      <c r="BU94" s="748"/>
      <c r="BV94" s="809"/>
      <c r="BW94" s="761"/>
      <c r="BX94" s="748"/>
      <c r="BY94" s="809"/>
      <c r="BZ94" s="761"/>
      <c r="CA94" s="748"/>
      <c r="CB94" s="809"/>
      <c r="CC94" s="761"/>
      <c r="CD94" s="748"/>
      <c r="CE94" s="809">
        <v>390094</v>
      </c>
      <c r="CF94" s="761">
        <v>0</v>
      </c>
      <c r="CG94" s="748"/>
      <c r="CH94" s="809"/>
      <c r="CI94" s="761"/>
      <c r="CJ94" s="748"/>
      <c r="CK94" s="809"/>
      <c r="CL94" s="761"/>
      <c r="CM94" s="748">
        <f t="shared" si="164"/>
        <v>0</v>
      </c>
      <c r="CN94" s="809">
        <f t="shared" si="164"/>
        <v>390094</v>
      </c>
      <c r="CO94" s="761">
        <f t="shared" si="164"/>
        <v>0</v>
      </c>
      <c r="CP94" s="748">
        <f t="shared" si="150"/>
        <v>850000</v>
      </c>
      <c r="CQ94" s="809">
        <f t="shared" si="151"/>
        <v>2407576</v>
      </c>
      <c r="CR94" s="761">
        <f t="shared" si="152"/>
        <v>749990.908</v>
      </c>
      <c r="CS94" s="748"/>
      <c r="CT94" s="809"/>
      <c r="CU94" s="761"/>
      <c r="CV94" s="748"/>
      <c r="CW94" s="809"/>
      <c r="CX94" s="761"/>
      <c r="CY94" s="748"/>
      <c r="CZ94" s="809"/>
      <c r="DA94" s="761"/>
      <c r="DB94" s="748"/>
      <c r="DC94" s="809"/>
      <c r="DD94" s="761"/>
      <c r="DE94" s="748">
        <f t="shared" si="165"/>
        <v>0</v>
      </c>
      <c r="DF94" s="809">
        <f t="shared" si="165"/>
        <v>0</v>
      </c>
      <c r="DG94" s="761">
        <f t="shared" si="165"/>
        <v>0</v>
      </c>
      <c r="DH94" s="748"/>
      <c r="DI94" s="809"/>
      <c r="DJ94" s="761"/>
      <c r="DK94" s="748"/>
      <c r="DL94" s="809"/>
      <c r="DM94" s="761"/>
      <c r="DN94" s="748">
        <f t="shared" si="158"/>
        <v>850000</v>
      </c>
      <c r="DO94" s="809">
        <f t="shared" si="158"/>
        <v>2407576</v>
      </c>
      <c r="DP94" s="761">
        <f t="shared" si="158"/>
        <v>749990.908</v>
      </c>
      <c r="DQ94" s="830">
        <f>DP94/DO94*100</f>
        <v>31.15128693756708</v>
      </c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  <c r="HF94" s="154"/>
      <c r="HG94" s="154"/>
      <c r="HH94" s="154"/>
      <c r="HI94" s="154"/>
      <c r="HJ94" s="154"/>
    </row>
    <row r="95" spans="1:218" ht="12.75" customHeight="1" thickBot="1">
      <c r="A95" s="737"/>
      <c r="B95" s="738" t="s">
        <v>191</v>
      </c>
      <c r="C95" s="1980"/>
      <c r="D95" s="749"/>
      <c r="E95" s="810"/>
      <c r="F95" s="762"/>
      <c r="G95" s="749"/>
      <c r="H95" s="810"/>
      <c r="I95" s="762"/>
      <c r="J95" s="749"/>
      <c r="K95" s="810"/>
      <c r="L95" s="762"/>
      <c r="M95" s="749"/>
      <c r="N95" s="810"/>
      <c r="O95" s="762"/>
      <c r="P95" s="749"/>
      <c r="Q95" s="810"/>
      <c r="R95" s="762"/>
      <c r="S95" s="749"/>
      <c r="T95" s="810"/>
      <c r="U95" s="762"/>
      <c r="V95" s="749"/>
      <c r="W95" s="810"/>
      <c r="X95" s="762"/>
      <c r="Y95" s="749"/>
      <c r="Z95" s="810"/>
      <c r="AA95" s="762"/>
      <c r="AB95" s="749"/>
      <c r="AC95" s="810"/>
      <c r="AD95" s="762"/>
      <c r="AE95" s="749"/>
      <c r="AF95" s="810"/>
      <c r="AG95" s="762"/>
      <c r="AH95" s="749"/>
      <c r="AI95" s="810"/>
      <c r="AJ95" s="762"/>
      <c r="AK95" s="749"/>
      <c r="AL95" s="810"/>
      <c r="AM95" s="762"/>
      <c r="AN95" s="749"/>
      <c r="AO95" s="810"/>
      <c r="AP95" s="762"/>
      <c r="AQ95" s="749"/>
      <c r="AR95" s="810"/>
      <c r="AS95" s="762"/>
      <c r="AT95" s="749"/>
      <c r="AU95" s="810"/>
      <c r="AV95" s="762"/>
      <c r="AW95" s="749"/>
      <c r="AX95" s="810"/>
      <c r="AY95" s="762">
        <v>-75832</v>
      </c>
      <c r="AZ95" s="749"/>
      <c r="BA95" s="810"/>
      <c r="BB95" s="762"/>
      <c r="BC95" s="749"/>
      <c r="BD95" s="810"/>
      <c r="BE95" s="762"/>
      <c r="BF95" s="749"/>
      <c r="BG95" s="810"/>
      <c r="BH95" s="762"/>
      <c r="BI95" s="749"/>
      <c r="BJ95" s="810"/>
      <c r="BK95" s="762">
        <f>F95+I95+L95+O95+R95+U95+X95+AA95+AD95+AG95+AJ95+AM95+AP95+AS95+AV95+AY95+BB95+BE95+BH95</f>
        <v>-75832</v>
      </c>
      <c r="BL95" s="749"/>
      <c r="BM95" s="810"/>
      <c r="BN95" s="762"/>
      <c r="BO95" s="749"/>
      <c r="BP95" s="810"/>
      <c r="BQ95" s="762"/>
      <c r="BR95" s="749"/>
      <c r="BS95" s="810"/>
      <c r="BT95" s="762"/>
      <c r="BU95" s="749"/>
      <c r="BV95" s="810"/>
      <c r="BW95" s="762"/>
      <c r="BX95" s="749"/>
      <c r="BY95" s="810"/>
      <c r="BZ95" s="762"/>
      <c r="CA95" s="749"/>
      <c r="CB95" s="810"/>
      <c r="CC95" s="762"/>
      <c r="CD95" s="749"/>
      <c r="CE95" s="810"/>
      <c r="CF95" s="762"/>
      <c r="CG95" s="749"/>
      <c r="CH95" s="810"/>
      <c r="CI95" s="762"/>
      <c r="CJ95" s="749"/>
      <c r="CK95" s="810"/>
      <c r="CL95" s="762"/>
      <c r="CM95" s="749"/>
      <c r="CN95" s="810"/>
      <c r="CO95" s="762">
        <f>BN95+BQ95+BT95+BW95+BZ95+CC95+CF95+CI95+CL95</f>
        <v>0</v>
      </c>
      <c r="CP95" s="749">
        <f t="shared" si="150"/>
        <v>0</v>
      </c>
      <c r="CQ95" s="810">
        <f t="shared" si="151"/>
        <v>0</v>
      </c>
      <c r="CR95" s="762">
        <f t="shared" si="152"/>
        <v>-75832</v>
      </c>
      <c r="CS95" s="749"/>
      <c r="CT95" s="810"/>
      <c r="CU95" s="762"/>
      <c r="CV95" s="749"/>
      <c r="CW95" s="810"/>
      <c r="CX95" s="762"/>
      <c r="CY95" s="749"/>
      <c r="CZ95" s="810"/>
      <c r="DA95" s="762"/>
      <c r="DB95" s="749"/>
      <c r="DC95" s="810"/>
      <c r="DD95" s="762">
        <v>-384</v>
      </c>
      <c r="DE95" s="749">
        <f>CS95+CY95+DB95</f>
        <v>0</v>
      </c>
      <c r="DF95" s="810">
        <f>CT95+CZ95+DC95</f>
        <v>0</v>
      </c>
      <c r="DG95" s="762">
        <f>CU95+DA95+DD95</f>
        <v>-384</v>
      </c>
      <c r="DH95" s="749"/>
      <c r="DI95" s="810"/>
      <c r="DJ95" s="762">
        <v>-14</v>
      </c>
      <c r="DK95" s="749"/>
      <c r="DL95" s="810"/>
      <c r="DM95" s="762">
        <v>380</v>
      </c>
      <c r="DN95" s="749"/>
      <c r="DO95" s="810"/>
      <c r="DP95" s="762">
        <f>CR95+DG95+DJ95+DM95</f>
        <v>-75850</v>
      </c>
      <c r="DQ95" s="823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  <c r="HJ95" s="154"/>
    </row>
    <row r="96" spans="1:218" ht="16.5" thickBot="1">
      <c r="A96" s="574"/>
      <c r="B96" s="610" t="s">
        <v>122</v>
      </c>
      <c r="C96" s="1981"/>
      <c r="D96" s="749">
        <f>D86+D87+D90</f>
        <v>14351</v>
      </c>
      <c r="E96" s="810">
        <f>E86+E87+E90</f>
        <v>794468</v>
      </c>
      <c r="F96" s="762">
        <f aca="true" t="shared" si="166" ref="F96:BN96">F86+F87+F90</f>
        <v>205135.616</v>
      </c>
      <c r="G96" s="749">
        <f t="shared" si="166"/>
        <v>1068870</v>
      </c>
      <c r="H96" s="810">
        <f t="shared" si="166"/>
        <v>1318256</v>
      </c>
      <c r="I96" s="762">
        <f t="shared" si="166"/>
        <v>1127409.8490000002</v>
      </c>
      <c r="J96" s="749">
        <f t="shared" si="166"/>
        <v>175062</v>
      </c>
      <c r="K96" s="810">
        <f t="shared" si="166"/>
        <v>132653</v>
      </c>
      <c r="L96" s="762">
        <f t="shared" si="166"/>
        <v>141241.398</v>
      </c>
      <c r="M96" s="749">
        <f t="shared" si="166"/>
        <v>0</v>
      </c>
      <c r="N96" s="810">
        <f t="shared" si="166"/>
        <v>13276</v>
      </c>
      <c r="O96" s="762">
        <f t="shared" si="166"/>
        <v>0</v>
      </c>
      <c r="P96" s="749">
        <f t="shared" si="166"/>
        <v>0</v>
      </c>
      <c r="Q96" s="810">
        <f t="shared" si="166"/>
        <v>844</v>
      </c>
      <c r="R96" s="762">
        <f t="shared" si="166"/>
        <v>844</v>
      </c>
      <c r="S96" s="749">
        <f t="shared" si="166"/>
        <v>54061</v>
      </c>
      <c r="T96" s="810">
        <f t="shared" si="166"/>
        <v>80555.9</v>
      </c>
      <c r="U96" s="762">
        <f t="shared" si="166"/>
        <v>66430.042</v>
      </c>
      <c r="V96" s="749">
        <f t="shared" si="166"/>
        <v>291500</v>
      </c>
      <c r="W96" s="810">
        <f t="shared" si="166"/>
        <v>557584</v>
      </c>
      <c r="X96" s="762">
        <f t="shared" si="166"/>
        <v>374509.87899999996</v>
      </c>
      <c r="Y96" s="749">
        <f t="shared" si="166"/>
        <v>217159</v>
      </c>
      <c r="Z96" s="810">
        <f t="shared" si="166"/>
        <v>293308.336</v>
      </c>
      <c r="AA96" s="762">
        <f t="shared" si="166"/>
        <v>137308.257</v>
      </c>
      <c r="AB96" s="749">
        <f t="shared" si="166"/>
        <v>0</v>
      </c>
      <c r="AC96" s="810">
        <f t="shared" si="166"/>
        <v>0</v>
      </c>
      <c r="AD96" s="762">
        <f t="shared" si="166"/>
        <v>0</v>
      </c>
      <c r="AE96" s="749">
        <f t="shared" si="166"/>
        <v>0</v>
      </c>
      <c r="AF96" s="810">
        <f t="shared" si="166"/>
        <v>35000</v>
      </c>
      <c r="AG96" s="762">
        <f t="shared" si="166"/>
        <v>15650.662</v>
      </c>
      <c r="AH96" s="749">
        <f t="shared" si="166"/>
        <v>928882</v>
      </c>
      <c r="AI96" s="810">
        <f t="shared" si="166"/>
        <v>1016190</v>
      </c>
      <c r="AJ96" s="762">
        <f t="shared" si="166"/>
        <v>1086302.7889999999</v>
      </c>
      <c r="AK96" s="749">
        <f t="shared" si="166"/>
        <v>6670813</v>
      </c>
      <c r="AL96" s="810">
        <f t="shared" si="166"/>
        <v>6700813</v>
      </c>
      <c r="AM96" s="762">
        <f t="shared" si="166"/>
        <v>6916215.219999999</v>
      </c>
      <c r="AN96" s="749">
        <f t="shared" si="166"/>
        <v>0</v>
      </c>
      <c r="AO96" s="810">
        <f t="shared" si="166"/>
        <v>158131</v>
      </c>
      <c r="AP96" s="762">
        <f t="shared" si="166"/>
        <v>61286.152</v>
      </c>
      <c r="AQ96" s="749">
        <f t="shared" si="166"/>
        <v>0</v>
      </c>
      <c r="AR96" s="810">
        <f t="shared" si="166"/>
        <v>42060</v>
      </c>
      <c r="AS96" s="762">
        <f t="shared" si="166"/>
        <v>2060</v>
      </c>
      <c r="AT96" s="749">
        <f t="shared" si="166"/>
        <v>0</v>
      </c>
      <c r="AU96" s="810">
        <f t="shared" si="166"/>
        <v>0</v>
      </c>
      <c r="AV96" s="762">
        <f t="shared" si="166"/>
        <v>0</v>
      </c>
      <c r="AW96" s="749">
        <f t="shared" si="166"/>
        <v>330468</v>
      </c>
      <c r="AX96" s="810">
        <f t="shared" si="166"/>
        <v>494783.967</v>
      </c>
      <c r="AY96" s="762">
        <f t="shared" si="166"/>
        <v>407602.4849999999</v>
      </c>
      <c r="AZ96" s="749">
        <f t="shared" si="166"/>
        <v>0</v>
      </c>
      <c r="BA96" s="810">
        <f t="shared" si="166"/>
        <v>0</v>
      </c>
      <c r="BB96" s="762">
        <f t="shared" si="166"/>
        <v>0</v>
      </c>
      <c r="BC96" s="749">
        <f t="shared" si="166"/>
        <v>2872761</v>
      </c>
      <c r="BD96" s="810">
        <f t="shared" si="166"/>
        <v>3572440.967</v>
      </c>
      <c r="BE96" s="762">
        <f t="shared" si="166"/>
        <v>2685483.965</v>
      </c>
      <c r="BF96" s="749">
        <f t="shared" si="166"/>
        <v>836001</v>
      </c>
      <c r="BG96" s="810">
        <f t="shared" si="166"/>
        <v>1245928</v>
      </c>
      <c r="BH96" s="762">
        <f t="shared" si="166"/>
        <v>1151783.4160000002</v>
      </c>
      <c r="BI96" s="749">
        <f t="shared" si="166"/>
        <v>13459928</v>
      </c>
      <c r="BJ96" s="810">
        <f t="shared" si="166"/>
        <v>16456292.191</v>
      </c>
      <c r="BK96" s="762">
        <f t="shared" si="166"/>
        <v>14379263.205</v>
      </c>
      <c r="BL96" s="749">
        <f t="shared" si="166"/>
        <v>0</v>
      </c>
      <c r="BM96" s="810">
        <f t="shared" si="166"/>
        <v>238</v>
      </c>
      <c r="BN96" s="762">
        <f t="shared" si="166"/>
        <v>237.49</v>
      </c>
      <c r="BO96" s="749">
        <f aca="true" t="shared" si="167" ref="BO96:CO96">BO86+BO87+BO90</f>
        <v>0</v>
      </c>
      <c r="BP96" s="810">
        <f t="shared" si="167"/>
        <v>10691</v>
      </c>
      <c r="BQ96" s="762">
        <f t="shared" si="167"/>
        <v>10687.718</v>
      </c>
      <c r="BR96" s="749">
        <f t="shared" si="167"/>
        <v>0</v>
      </c>
      <c r="BS96" s="810">
        <f t="shared" si="167"/>
        <v>0</v>
      </c>
      <c r="BT96" s="762">
        <f t="shared" si="167"/>
        <v>0</v>
      </c>
      <c r="BU96" s="749">
        <f t="shared" si="167"/>
        <v>0</v>
      </c>
      <c r="BV96" s="810">
        <f t="shared" si="167"/>
        <v>10603</v>
      </c>
      <c r="BW96" s="762">
        <f t="shared" si="167"/>
        <v>10602.894</v>
      </c>
      <c r="BX96" s="749">
        <f t="shared" si="167"/>
        <v>0</v>
      </c>
      <c r="BY96" s="810">
        <f t="shared" si="167"/>
        <v>0</v>
      </c>
      <c r="BZ96" s="762">
        <f t="shared" si="167"/>
        <v>0</v>
      </c>
      <c r="CA96" s="749">
        <f t="shared" si="167"/>
        <v>3810</v>
      </c>
      <c r="CB96" s="810">
        <f t="shared" si="167"/>
        <v>17245.319</v>
      </c>
      <c r="CC96" s="762">
        <f t="shared" si="167"/>
        <v>18137.019</v>
      </c>
      <c r="CD96" s="749">
        <f t="shared" si="167"/>
        <v>1000</v>
      </c>
      <c r="CE96" s="810">
        <f t="shared" si="167"/>
        <v>411849</v>
      </c>
      <c r="CF96" s="762">
        <f t="shared" si="167"/>
        <v>65234.026</v>
      </c>
      <c r="CG96" s="749">
        <f t="shared" si="167"/>
        <v>0</v>
      </c>
      <c r="CH96" s="810">
        <f t="shared" si="167"/>
        <v>0</v>
      </c>
      <c r="CI96" s="762">
        <f t="shared" si="167"/>
        <v>0</v>
      </c>
      <c r="CJ96" s="749">
        <f t="shared" si="167"/>
        <v>23000</v>
      </c>
      <c r="CK96" s="810">
        <f t="shared" si="167"/>
        <v>119460.37</v>
      </c>
      <c r="CL96" s="762">
        <f t="shared" si="167"/>
        <v>241755.506</v>
      </c>
      <c r="CM96" s="749">
        <f t="shared" si="167"/>
        <v>27810</v>
      </c>
      <c r="CN96" s="810">
        <f t="shared" si="167"/>
        <v>570086.689</v>
      </c>
      <c r="CO96" s="762">
        <f t="shared" si="167"/>
        <v>346654.653</v>
      </c>
      <c r="CP96" s="749">
        <f t="shared" si="150"/>
        <v>13487738</v>
      </c>
      <c r="CQ96" s="810">
        <f t="shared" si="151"/>
        <v>17026378.88</v>
      </c>
      <c r="CR96" s="762">
        <f t="shared" si="152"/>
        <v>14725917.858000001</v>
      </c>
      <c r="CS96" s="749">
        <f aca="true" t="shared" si="168" ref="CS96:DA96">CS86+CS87+CS90</f>
        <v>7132</v>
      </c>
      <c r="CT96" s="810">
        <f t="shared" si="168"/>
        <v>7736</v>
      </c>
      <c r="CU96" s="762">
        <f t="shared" si="168"/>
        <v>7734.025000000001</v>
      </c>
      <c r="CV96" s="749">
        <f>CV86+CV87+CV90</f>
        <v>0</v>
      </c>
      <c r="CW96" s="810">
        <f>CW86+CW87+CW90</f>
        <v>0</v>
      </c>
      <c r="CX96" s="762">
        <f>CX86+CX87+CX90</f>
        <v>0</v>
      </c>
      <c r="CY96" s="749">
        <f t="shared" si="168"/>
        <v>0</v>
      </c>
      <c r="CZ96" s="810">
        <f t="shared" si="168"/>
        <v>198</v>
      </c>
      <c r="DA96" s="762">
        <f t="shared" si="168"/>
        <v>198.054</v>
      </c>
      <c r="DB96" s="749">
        <f aca="true" t="shared" si="169" ref="DB96:DG96">DB86+DB87+DB90</f>
        <v>80345</v>
      </c>
      <c r="DC96" s="810">
        <f>DC86+DC87+DC90</f>
        <v>543539</v>
      </c>
      <c r="DD96" s="762">
        <f t="shared" si="169"/>
        <v>517013.735</v>
      </c>
      <c r="DE96" s="749">
        <f t="shared" si="169"/>
        <v>87477</v>
      </c>
      <c r="DF96" s="810">
        <f t="shared" si="169"/>
        <v>551473</v>
      </c>
      <c r="DG96" s="762">
        <f t="shared" si="169"/>
        <v>524945.814</v>
      </c>
      <c r="DH96" s="749">
        <f aca="true" t="shared" si="170" ref="DH96:DP96">DH86+DH87+DH90</f>
        <v>110358</v>
      </c>
      <c r="DI96" s="810">
        <f t="shared" si="170"/>
        <v>209778</v>
      </c>
      <c r="DJ96" s="762">
        <f t="shared" si="170"/>
        <v>219980</v>
      </c>
      <c r="DK96" s="749">
        <f t="shared" si="170"/>
        <v>1062764</v>
      </c>
      <c r="DL96" s="810">
        <f t="shared" si="170"/>
        <v>1212314</v>
      </c>
      <c r="DM96" s="762">
        <f t="shared" si="170"/>
        <v>1204797</v>
      </c>
      <c r="DN96" s="749">
        <f t="shared" si="170"/>
        <v>14748337</v>
      </c>
      <c r="DO96" s="810">
        <f t="shared" si="170"/>
        <v>18999943.88</v>
      </c>
      <c r="DP96" s="762">
        <f t="shared" si="170"/>
        <v>16675640.672</v>
      </c>
      <c r="DQ96" s="831">
        <f>DP96/DO96*100</f>
        <v>87.76678908801073</v>
      </c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</row>
    <row r="97" spans="2:218" ht="12.75">
      <c r="B97" s="135" t="s">
        <v>608</v>
      </c>
      <c r="CP97" s="152">
        <f>DN97</f>
        <v>0</v>
      </c>
      <c r="CQ97" s="152">
        <f>DO97</f>
        <v>0</v>
      </c>
      <c r="CR97" s="152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2">
        <f>'6_sz_tábla B.'!I50+'6_sz_tábla B.'!O50</f>
        <v>2449717</v>
      </c>
      <c r="DK97" s="151"/>
      <c r="DL97" s="151"/>
      <c r="DM97" s="151">
        <v>336125</v>
      </c>
      <c r="DN97" s="153"/>
      <c r="DO97" s="153"/>
      <c r="DP97" s="153"/>
      <c r="DQ97" s="666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</row>
    <row r="98" spans="94:218" ht="12.75">
      <c r="CP98" s="155"/>
      <c r="CQ98" s="155"/>
      <c r="CR98" s="155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5">
        <f>SUM(DJ96:DJ97)</f>
        <v>2669697</v>
      </c>
      <c r="DK98" s="154"/>
      <c r="DL98" s="154"/>
      <c r="DM98" s="155">
        <f>SUM(DM96:DM97)</f>
        <v>1540922</v>
      </c>
      <c r="DN98" s="156"/>
      <c r="DO98" s="156"/>
      <c r="DP98" s="156"/>
      <c r="DQ98" s="667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  <c r="HF98" s="154"/>
      <c r="HG98" s="154"/>
      <c r="HH98" s="154"/>
      <c r="HI98" s="154"/>
      <c r="HJ98" s="154"/>
    </row>
    <row r="99" spans="120:218" ht="12.75">
      <c r="DP99" s="146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</row>
    <row r="100" spans="117:218" ht="12.75">
      <c r="DM100" s="146"/>
      <c r="DP100" s="146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  <c r="HJ100" s="154"/>
    </row>
    <row r="101" spans="94:129" ht="12.75" customHeight="1">
      <c r="CP101" s="146"/>
      <c r="CQ101" s="146"/>
      <c r="CR101" s="146"/>
      <c r="DP101" s="146"/>
      <c r="DR101" s="154"/>
      <c r="DS101" s="154"/>
      <c r="DT101" s="154"/>
      <c r="DU101" s="154"/>
      <c r="DV101" s="154"/>
      <c r="DW101" s="154"/>
      <c r="DX101" s="154"/>
      <c r="DY101" s="154"/>
    </row>
    <row r="102" spans="117:129" ht="12.75">
      <c r="DM102" s="146"/>
      <c r="DP102" s="135"/>
      <c r="DR102" s="154"/>
      <c r="DS102" s="154"/>
      <c r="DT102" s="154"/>
      <c r="DU102" s="154"/>
      <c r="DV102" s="154"/>
      <c r="DW102" s="154"/>
      <c r="DX102" s="154"/>
      <c r="DY102" s="154"/>
    </row>
    <row r="103" spans="122:129" ht="12.75">
      <c r="DR103" s="154"/>
      <c r="DS103" s="154"/>
      <c r="DT103" s="154"/>
      <c r="DU103" s="154"/>
      <c r="DV103" s="154"/>
      <c r="DW103" s="154"/>
      <c r="DX103" s="154"/>
      <c r="DY103" s="154"/>
    </row>
    <row r="104" spans="122:129" ht="12.75">
      <c r="DR104" s="154"/>
      <c r="DS104" s="154"/>
      <c r="DT104" s="154"/>
      <c r="DU104" s="154"/>
      <c r="DV104" s="154"/>
      <c r="DW104" s="154"/>
      <c r="DX104" s="154"/>
      <c r="DY104" s="154"/>
    </row>
  </sheetData>
  <sheetProtection/>
  <mergeCells count="106">
    <mergeCell ref="CG10:CH10"/>
    <mergeCell ref="CM10:CN10"/>
    <mergeCell ref="CJ10:CK10"/>
    <mergeCell ref="BU10:BV10"/>
    <mergeCell ref="BX10:BY10"/>
    <mergeCell ref="CD10:CE10"/>
    <mergeCell ref="CA10:CB10"/>
    <mergeCell ref="DN10:DO10"/>
    <mergeCell ref="CP10:CQ10"/>
    <mergeCell ref="CS10:CT10"/>
    <mergeCell ref="CY10:CZ10"/>
    <mergeCell ref="DB10:DC10"/>
    <mergeCell ref="DK10:DL10"/>
    <mergeCell ref="DE10:DF10"/>
    <mergeCell ref="DH10:DI10"/>
    <mergeCell ref="CV10:CW10"/>
    <mergeCell ref="BO10:BP10"/>
    <mergeCell ref="AW7:AY7"/>
    <mergeCell ref="D10:E10"/>
    <mergeCell ref="G10:H10"/>
    <mergeCell ref="J10:K10"/>
    <mergeCell ref="M10:N10"/>
    <mergeCell ref="AQ10:AR10"/>
    <mergeCell ref="V10:W10"/>
    <mergeCell ref="AK10:AL10"/>
    <mergeCell ref="AN10:AO10"/>
    <mergeCell ref="AW10:AX10"/>
    <mergeCell ref="AZ10:BA10"/>
    <mergeCell ref="BC10:BD10"/>
    <mergeCell ref="BL10:BM10"/>
    <mergeCell ref="BI10:BJ10"/>
    <mergeCell ref="AT10:AU10"/>
    <mergeCell ref="AH7:AJ7"/>
    <mergeCell ref="Y7:AA7"/>
    <mergeCell ref="Y8:AA8"/>
    <mergeCell ref="AE7:AG7"/>
    <mergeCell ref="AE10:AF10"/>
    <mergeCell ref="AH10:AI10"/>
    <mergeCell ref="P10:Q10"/>
    <mergeCell ref="S10:T10"/>
    <mergeCell ref="AE8:AG8"/>
    <mergeCell ref="AK8:AM8"/>
    <mergeCell ref="AB10:AC10"/>
    <mergeCell ref="V8:X8"/>
    <mergeCell ref="S8:U8"/>
    <mergeCell ref="Y10:Z10"/>
    <mergeCell ref="CY8:DA8"/>
    <mergeCell ref="DK7:DM7"/>
    <mergeCell ref="P8:R8"/>
    <mergeCell ref="BF8:BH8"/>
    <mergeCell ref="AN8:AP8"/>
    <mergeCell ref="BU7:BW7"/>
    <mergeCell ref="BR8:BT8"/>
    <mergeCell ref="BR7:BT7"/>
    <mergeCell ref="CM7:CO7"/>
    <mergeCell ref="CJ7:CL7"/>
    <mergeCell ref="D7:F7"/>
    <mergeCell ref="D8:F8"/>
    <mergeCell ref="DH7:DJ7"/>
    <mergeCell ref="DH8:DJ8"/>
    <mergeCell ref="DE7:DG7"/>
    <mergeCell ref="DE8:DG8"/>
    <mergeCell ref="AZ7:BB7"/>
    <mergeCell ref="BL7:BN7"/>
    <mergeCell ref="CJ8:CL8"/>
    <mergeCell ref="CM8:CO8"/>
    <mergeCell ref="DN8:DP8"/>
    <mergeCell ref="DN7:DP7"/>
    <mergeCell ref="CY7:DA7"/>
    <mergeCell ref="CP7:CR7"/>
    <mergeCell ref="DB7:DD7"/>
    <mergeCell ref="DB8:DD8"/>
    <mergeCell ref="CS7:CU7"/>
    <mergeCell ref="CP8:CR8"/>
    <mergeCell ref="CS8:CU8"/>
    <mergeCell ref="DK8:DM8"/>
    <mergeCell ref="G7:I7"/>
    <mergeCell ref="M7:O7"/>
    <mergeCell ref="AB7:AD7"/>
    <mergeCell ref="BF7:BH7"/>
    <mergeCell ref="P7:R7"/>
    <mergeCell ref="AQ7:AS7"/>
    <mergeCell ref="AK7:AM7"/>
    <mergeCell ref="S7:U7"/>
    <mergeCell ref="AN7:AP7"/>
    <mergeCell ref="V7:X7"/>
    <mergeCell ref="CV7:CX7"/>
    <mergeCell ref="BI8:BK8"/>
    <mergeCell ref="BC8:BE8"/>
    <mergeCell ref="BI7:BK7"/>
    <mergeCell ref="BO7:BQ7"/>
    <mergeCell ref="BC7:BE7"/>
    <mergeCell ref="BX7:BZ7"/>
    <mergeCell ref="CA7:CC7"/>
    <mergeCell ref="CD7:CF7"/>
    <mergeCell ref="CV8:CX8"/>
    <mergeCell ref="CG7:CI7"/>
    <mergeCell ref="M8:O8"/>
    <mergeCell ref="AB8:AD8"/>
    <mergeCell ref="BL8:BN8"/>
    <mergeCell ref="BO8:BQ8"/>
    <mergeCell ref="CA8:CC8"/>
    <mergeCell ref="CD8:CF8"/>
    <mergeCell ref="CG8:CI8"/>
    <mergeCell ref="AW8:AY8"/>
    <mergeCell ref="AT7:AV7"/>
  </mergeCells>
  <printOptions horizontalCentered="1" verticalCentered="1"/>
  <pageMargins left="0.1968503937007874" right="0.1968503937007874" top="0.7086614173228347" bottom="0.2362204724409449" header="0.2755905511811024" footer="0.11811023622047245"/>
  <pageSetup horizontalDpi="300" verticalDpi="300" orientation="portrait" paperSize="9" scale="65" r:id="rId3"/>
  <headerFooter alignWithMargins="0">
    <oddHeader>&amp;C&amp;"Times New Roman,Félkövér"&amp;14Budapest Főváros II. Kerületi Önkormányzat 
2013. évi bevételi előirányzatai és teljesítései feladatonkénti bontásban&amp;12
(eFt)&amp;R&amp;"Times New Roman,Normál"5.sz. tábla  &amp;P. o.</oddHeader>
  </headerFooter>
  <rowBreaks count="1" manualBreakCount="1">
    <brk id="96" max="125" man="1"/>
  </rowBreaks>
  <colBreaks count="13" manualBreakCount="13">
    <brk id="12" min="1" max="98" man="1"/>
    <brk id="21" min="1" max="98" man="1"/>
    <brk id="30" min="1" max="102" man="1"/>
    <brk id="39" min="1" max="101" man="1"/>
    <brk id="48" min="1" max="98" man="1"/>
    <brk id="57" min="1" max="98" man="1"/>
    <brk id="66" min="1" max="98" man="1"/>
    <brk id="75" min="1" max="98" man="1"/>
    <brk id="84" min="1" max="98" man="1"/>
    <brk id="93" min="1" max="98" man="1"/>
    <brk id="102" min="1" max="98" man="1"/>
    <brk id="111" min="1" max="98" man="1"/>
    <brk id="117" min="1" max="98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5"/>
  <sheetViews>
    <sheetView zoomScale="110" zoomScaleNormal="110" zoomScalePageLayoutView="0" workbookViewId="0" topLeftCell="A1">
      <pane xSplit="5" ySplit="17" topLeftCell="O3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S2" sqref="S2"/>
    </sheetView>
  </sheetViews>
  <sheetFormatPr defaultColWidth="9.00390625" defaultRowHeight="12.75"/>
  <cols>
    <col min="1" max="1" width="3.875" style="1006" customWidth="1"/>
    <col min="2" max="2" width="30.75390625" style="1006" customWidth="1"/>
    <col min="3" max="4" width="11.625" style="1006" customWidth="1"/>
    <col min="5" max="17" width="10.75390625" style="1006" customWidth="1"/>
    <col min="18" max="18" width="9.625" style="1006" customWidth="1"/>
    <col min="19" max="19" width="9.25390625" style="1006" customWidth="1"/>
    <col min="20" max="20" width="8.75390625" style="1006" customWidth="1"/>
    <col min="21" max="21" width="9.875" style="1006" customWidth="1"/>
    <col min="22" max="22" width="7.75390625" style="1006" customWidth="1"/>
    <col min="23" max="16384" width="9.125" style="1006" customWidth="1"/>
  </cols>
  <sheetData>
    <row r="1" spans="17:19" ht="12.75">
      <c r="Q1" s="1007"/>
      <c r="R1" s="1612"/>
      <c r="S1" s="2011" t="s">
        <v>1259</v>
      </c>
    </row>
    <row r="2" spans="17:19" ht="12.75">
      <c r="Q2" s="1007"/>
      <c r="R2" s="1007"/>
      <c r="S2" s="2011" t="s">
        <v>71</v>
      </c>
    </row>
    <row r="3" spans="17:19" ht="19.5" customHeight="1">
      <c r="Q3" s="1007"/>
      <c r="R3" s="1007"/>
      <c r="S3" s="2011"/>
    </row>
    <row r="4" spans="1:22" ht="12.75">
      <c r="A4" s="2248" t="s">
        <v>1213</v>
      </c>
      <c r="B4" s="2248"/>
      <c r="C4" s="2248"/>
      <c r="D4" s="2248"/>
      <c r="E4" s="2248"/>
      <c r="F4" s="2248"/>
      <c r="G4" s="2248"/>
      <c r="H4" s="2248"/>
      <c r="I4" s="2248"/>
      <c r="J4" s="2248"/>
      <c r="K4" s="2248"/>
      <c r="L4" s="2248"/>
      <c r="M4" s="2248"/>
      <c r="N4" s="2248"/>
      <c r="O4" s="2248"/>
      <c r="P4" s="2248"/>
      <c r="Q4" s="2248"/>
      <c r="R4" s="2248"/>
      <c r="S4" s="2248"/>
      <c r="T4" s="2248"/>
      <c r="U4" s="2248"/>
      <c r="V4" s="2248"/>
    </row>
    <row r="5" spans="1:21" ht="12.75" hidden="1">
      <c r="A5" s="1008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10"/>
    </row>
    <row r="6" spans="1:21" ht="12.75">
      <c r="A6" s="1008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10"/>
    </row>
    <row r="7" spans="1:21" ht="12.75">
      <c r="A7" s="1008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11"/>
      <c r="R7" s="1009"/>
      <c r="S7" s="1009"/>
      <c r="T7" s="1009"/>
      <c r="U7" s="1010"/>
    </row>
    <row r="8" spans="1:21" ht="13.5" thickBot="1">
      <c r="A8" s="1008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613" t="s">
        <v>1011</v>
      </c>
      <c r="R8" s="1009"/>
      <c r="S8" s="1009"/>
      <c r="T8" s="1009"/>
      <c r="U8" s="1010"/>
    </row>
    <row r="9" spans="1:19" ht="13.5" thickBot="1">
      <c r="A9" s="1614"/>
      <c r="B9" s="1615"/>
      <c r="C9" s="1616"/>
      <c r="D9" s="1615"/>
      <c r="E9" s="1617"/>
      <c r="F9" s="2249" t="s">
        <v>779</v>
      </c>
      <c r="G9" s="2250"/>
      <c r="H9" s="2250"/>
      <c r="I9" s="2250"/>
      <c r="J9" s="2250"/>
      <c r="K9" s="2250"/>
      <c r="L9" s="2250"/>
      <c r="M9" s="2250"/>
      <c r="N9" s="2250"/>
      <c r="O9" s="2251"/>
      <c r="P9" s="1618" t="s">
        <v>789</v>
      </c>
      <c r="Q9" s="1619"/>
      <c r="R9" s="1620"/>
      <c r="S9" s="1621"/>
    </row>
    <row r="10" spans="1:19" ht="13.5" thickBot="1">
      <c r="A10" s="1622"/>
      <c r="B10" s="1623"/>
      <c r="C10" s="1624"/>
      <c r="D10" s="1623"/>
      <c r="E10" s="1625"/>
      <c r="F10" s="2252" t="s">
        <v>1074</v>
      </c>
      <c r="G10" s="2253"/>
      <c r="H10" s="2253"/>
      <c r="I10" s="2253"/>
      <c r="J10" s="2253"/>
      <c r="K10" s="2253"/>
      <c r="L10" s="2252" t="s">
        <v>78</v>
      </c>
      <c r="M10" s="2253"/>
      <c r="N10" s="2253"/>
      <c r="O10" s="2254"/>
      <c r="P10" s="1626"/>
      <c r="Q10" s="1617"/>
      <c r="R10" s="1626"/>
      <c r="S10" s="1627"/>
    </row>
    <row r="11" spans="1:19" ht="12.75" customHeight="1">
      <c r="A11" s="1628"/>
      <c r="B11" s="1629"/>
      <c r="C11" s="1630" t="s">
        <v>222</v>
      </c>
      <c r="D11" s="1631" t="s">
        <v>223</v>
      </c>
      <c r="E11" s="1632" t="s">
        <v>344</v>
      </c>
      <c r="F11" s="1014"/>
      <c r="G11" s="1633" t="s">
        <v>965</v>
      </c>
      <c r="H11" s="1633"/>
      <c r="I11" s="1634"/>
      <c r="J11" s="1633"/>
      <c r="K11" s="1623"/>
      <c r="L11" s="1622"/>
      <c r="M11" s="1635"/>
      <c r="N11" s="1633"/>
      <c r="O11" s="1625"/>
      <c r="P11" s="1636"/>
      <c r="Q11" s="1637"/>
      <c r="R11" s="2255" t="s">
        <v>348</v>
      </c>
      <c r="S11" s="2256"/>
    </row>
    <row r="12" spans="1:19" ht="13.5" thickBot="1">
      <c r="A12" s="1628"/>
      <c r="B12" s="1634" t="s">
        <v>349</v>
      </c>
      <c r="C12" s="1638" t="s">
        <v>4</v>
      </c>
      <c r="D12" s="1634" t="s">
        <v>4</v>
      </c>
      <c r="E12" s="1632" t="s">
        <v>968</v>
      </c>
      <c r="F12" s="1012" t="s">
        <v>350</v>
      </c>
      <c r="G12" s="1633" t="s">
        <v>351</v>
      </c>
      <c r="H12" s="1633" t="s">
        <v>352</v>
      </c>
      <c r="I12" s="1634" t="s">
        <v>967</v>
      </c>
      <c r="J12" s="1633" t="s">
        <v>345</v>
      </c>
      <c r="K12" s="1634" t="s">
        <v>346</v>
      </c>
      <c r="L12" s="1636" t="s">
        <v>554</v>
      </c>
      <c r="M12" s="1639" t="s">
        <v>555</v>
      </c>
      <c r="N12" s="1633" t="s">
        <v>345</v>
      </c>
      <c r="O12" s="1632" t="s">
        <v>347</v>
      </c>
      <c r="P12" s="1636" t="s">
        <v>346</v>
      </c>
      <c r="Q12" s="1637" t="s">
        <v>347</v>
      </c>
      <c r="R12" s="1640"/>
      <c r="S12" s="1641"/>
    </row>
    <row r="13" spans="1:19" ht="12.75">
      <c r="A13" s="1642"/>
      <c r="B13" s="1634" t="s">
        <v>356</v>
      </c>
      <c r="C13" s="1638"/>
      <c r="D13" s="1634"/>
      <c r="E13" s="1632" t="s">
        <v>556</v>
      </c>
      <c r="F13" s="1012" t="s">
        <v>357</v>
      </c>
      <c r="G13" s="1633" t="s">
        <v>358</v>
      </c>
      <c r="H13" s="1633" t="s">
        <v>968</v>
      </c>
      <c r="I13" s="1634" t="s">
        <v>360</v>
      </c>
      <c r="J13" s="1633" t="s">
        <v>353</v>
      </c>
      <c r="K13" s="1634" t="s">
        <v>354</v>
      </c>
      <c r="L13" s="1636"/>
      <c r="M13" s="1639"/>
      <c r="N13" s="1633" t="s">
        <v>355</v>
      </c>
      <c r="O13" s="1632" t="s">
        <v>354</v>
      </c>
      <c r="P13" s="1636" t="s">
        <v>354</v>
      </c>
      <c r="Q13" s="1637" t="s">
        <v>354</v>
      </c>
      <c r="R13" s="1643" t="s">
        <v>1214</v>
      </c>
      <c r="S13" s="1644" t="s">
        <v>361</v>
      </c>
    </row>
    <row r="14" spans="1:19" ht="12.75">
      <c r="A14" s="1645" t="s">
        <v>530</v>
      </c>
      <c r="B14" s="1634" t="s">
        <v>128</v>
      </c>
      <c r="C14" s="1638"/>
      <c r="D14" s="1634"/>
      <c r="E14" s="1646" t="s">
        <v>879</v>
      </c>
      <c r="F14" s="1014"/>
      <c r="G14" s="1639" t="s">
        <v>362</v>
      </c>
      <c r="H14" s="1633"/>
      <c r="I14" s="1634" t="s">
        <v>364</v>
      </c>
      <c r="J14" s="1633" t="s">
        <v>557</v>
      </c>
      <c r="K14" s="1634" t="s">
        <v>359</v>
      </c>
      <c r="L14" s="1622"/>
      <c r="M14" s="1635"/>
      <c r="N14" s="1633" t="s">
        <v>557</v>
      </c>
      <c r="O14" s="1632" t="s">
        <v>359</v>
      </c>
      <c r="P14" s="1636"/>
      <c r="Q14" s="1637"/>
      <c r="R14" s="1643" t="s">
        <v>1215</v>
      </c>
      <c r="S14" s="1644" t="s">
        <v>365</v>
      </c>
    </row>
    <row r="15" spans="1:19" ht="12.75">
      <c r="A15" s="1648"/>
      <c r="B15" s="1634"/>
      <c r="C15" s="1638"/>
      <c r="D15" s="1634"/>
      <c r="E15" s="1649"/>
      <c r="F15" s="1014"/>
      <c r="G15" s="1639" t="s">
        <v>366</v>
      </c>
      <c r="H15" s="1633"/>
      <c r="I15" s="1634"/>
      <c r="J15" s="1633"/>
      <c r="K15" s="1634" t="s">
        <v>363</v>
      </c>
      <c r="L15" s="1650"/>
      <c r="M15" s="1651"/>
      <c r="N15" s="1633"/>
      <c r="O15" s="1632" t="s">
        <v>363</v>
      </c>
      <c r="P15" s="1636"/>
      <c r="Q15" s="1637"/>
      <c r="R15" s="1647" t="s">
        <v>1216</v>
      </c>
      <c r="S15" s="1644" t="s">
        <v>1217</v>
      </c>
    </row>
    <row r="16" spans="1:19" ht="12.75">
      <c r="A16" s="1642"/>
      <c r="B16" s="1652"/>
      <c r="C16" s="1653"/>
      <c r="D16" s="1654"/>
      <c r="E16" s="1655"/>
      <c r="F16" s="1014"/>
      <c r="G16" s="1639" t="s">
        <v>367</v>
      </c>
      <c r="H16" s="1633"/>
      <c r="I16" s="1014"/>
      <c r="J16" s="1635"/>
      <c r="K16" s="1623"/>
      <c r="L16" s="1656"/>
      <c r="M16" s="1657"/>
      <c r="N16" s="1635"/>
      <c r="O16" s="1625"/>
      <c r="P16" s="1622"/>
      <c r="Q16" s="1658"/>
      <c r="R16" s="1647" t="s">
        <v>294</v>
      </c>
      <c r="S16" s="1644" t="s">
        <v>294</v>
      </c>
    </row>
    <row r="17" spans="1:19" ht="12.75">
      <c r="A17" s="1659">
        <v>1</v>
      </c>
      <c r="B17" s="1660">
        <v>2</v>
      </c>
      <c r="C17" s="1659">
        <v>3</v>
      </c>
      <c r="D17" s="1661">
        <v>4</v>
      </c>
      <c r="E17" s="1662">
        <v>5</v>
      </c>
      <c r="F17" s="1663">
        <v>6</v>
      </c>
      <c r="G17" s="1664">
        <v>7</v>
      </c>
      <c r="H17" s="1664">
        <v>8</v>
      </c>
      <c r="I17" s="1664">
        <v>9</v>
      </c>
      <c r="J17" s="1664">
        <v>10</v>
      </c>
      <c r="K17" s="1661">
        <v>11</v>
      </c>
      <c r="L17" s="1659">
        <v>12</v>
      </c>
      <c r="M17" s="1665">
        <v>13</v>
      </c>
      <c r="N17" s="1664">
        <v>14</v>
      </c>
      <c r="O17" s="1662">
        <v>15</v>
      </c>
      <c r="P17" s="1666">
        <v>16</v>
      </c>
      <c r="Q17" s="1667">
        <v>17</v>
      </c>
      <c r="R17" s="1666">
        <v>18</v>
      </c>
      <c r="S17" s="1668">
        <v>19</v>
      </c>
    </row>
    <row r="18" spans="1:19" ht="12.75">
      <c r="A18" s="1638"/>
      <c r="B18" s="1634"/>
      <c r="C18" s="1638"/>
      <c r="D18" s="1634"/>
      <c r="E18" s="1669"/>
      <c r="F18" s="1014"/>
      <c r="G18" s="1014"/>
      <c r="H18" s="1014"/>
      <c r="I18" s="1014"/>
      <c r="J18" s="1014"/>
      <c r="K18" s="1014"/>
      <c r="L18" s="1622"/>
      <c r="M18" s="1014"/>
      <c r="N18" s="1014"/>
      <c r="O18" s="1670"/>
      <c r="P18" s="1622"/>
      <c r="Q18" s="1670"/>
      <c r="R18" s="1622"/>
      <c r="S18" s="1670"/>
    </row>
    <row r="19" spans="1:21" ht="15" customHeight="1">
      <c r="A19" s="1638" t="s">
        <v>482</v>
      </c>
      <c r="B19" s="1671" t="s">
        <v>368</v>
      </c>
      <c r="C19" s="1683">
        <v>446390</v>
      </c>
      <c r="D19" s="1016">
        <v>522077</v>
      </c>
      <c r="E19" s="1672">
        <f>SUM(F19:Q19)</f>
        <v>491137</v>
      </c>
      <c r="F19" s="1016">
        <f>260932+2903</f>
        <v>263835</v>
      </c>
      <c r="G19" s="1016">
        <v>64107</v>
      </c>
      <c r="H19" s="1016">
        <f>50354+49895+26657+14378-1</f>
        <v>141283</v>
      </c>
      <c r="I19" s="1016"/>
      <c r="J19" s="1016"/>
      <c r="K19" s="1016"/>
      <c r="L19" s="1673">
        <f>765+436+8149+2524</f>
        <v>11874</v>
      </c>
      <c r="M19" s="1016">
        <f>7799+136+2103</f>
        <v>10038</v>
      </c>
      <c r="N19" s="1016"/>
      <c r="O19" s="1674"/>
      <c r="P19" s="1673"/>
      <c r="Q19" s="1674"/>
      <c r="R19" s="1622">
        <v>138</v>
      </c>
      <c r="S19" s="1670"/>
      <c r="U19" s="1020"/>
    </row>
    <row r="20" spans="1:21" ht="12.75">
      <c r="A20" s="1624"/>
      <c r="B20" s="1675"/>
      <c r="C20" s="2002"/>
      <c r="D20" s="2003"/>
      <c r="E20" s="1672"/>
      <c r="F20" s="1016"/>
      <c r="G20" s="1016"/>
      <c r="H20" s="1016"/>
      <c r="I20" s="1016"/>
      <c r="J20" s="1016"/>
      <c r="K20" s="1016"/>
      <c r="L20" s="1673"/>
      <c r="M20" s="1016"/>
      <c r="N20" s="1016"/>
      <c r="O20" s="1674"/>
      <c r="P20" s="1673"/>
      <c r="Q20" s="1674"/>
      <c r="R20" s="1622"/>
      <c r="S20" s="1670"/>
      <c r="U20" s="1020"/>
    </row>
    <row r="21" spans="1:21" ht="19.5" customHeight="1">
      <c r="A21" s="2025"/>
      <c r="B21" s="2026" t="s">
        <v>195</v>
      </c>
      <c r="C21" s="2027">
        <f>SUM(C19:C20)</f>
        <v>446390</v>
      </c>
      <c r="D21" s="2028">
        <f>SUM(D19:D20)</f>
        <v>522077</v>
      </c>
      <c r="E21" s="2021">
        <f aca="true" t="shared" si="0" ref="E21:S21">SUM(E19:E20)</f>
        <v>491137</v>
      </c>
      <c r="F21" s="2029">
        <f t="shared" si="0"/>
        <v>263835</v>
      </c>
      <c r="G21" s="2030">
        <f t="shared" si="0"/>
        <v>64107</v>
      </c>
      <c r="H21" s="2030">
        <f t="shared" si="0"/>
        <v>141283</v>
      </c>
      <c r="I21" s="2030">
        <f t="shared" si="0"/>
        <v>0</v>
      </c>
      <c r="J21" s="2030">
        <f t="shared" si="0"/>
        <v>0</v>
      </c>
      <c r="K21" s="2029">
        <f t="shared" si="0"/>
        <v>0</v>
      </c>
      <c r="L21" s="2031">
        <f t="shared" si="0"/>
        <v>11874</v>
      </c>
      <c r="M21" s="2030">
        <f t="shared" si="0"/>
        <v>10038</v>
      </c>
      <c r="N21" s="2029">
        <f t="shared" si="0"/>
        <v>0</v>
      </c>
      <c r="O21" s="2032">
        <f t="shared" si="0"/>
        <v>0</v>
      </c>
      <c r="P21" s="2031">
        <f t="shared" si="0"/>
        <v>0</v>
      </c>
      <c r="Q21" s="2032">
        <f t="shared" si="0"/>
        <v>0</v>
      </c>
      <c r="R21" s="2033">
        <f t="shared" si="0"/>
        <v>138</v>
      </c>
      <c r="S21" s="2034">
        <f t="shared" si="0"/>
        <v>0</v>
      </c>
      <c r="U21" s="1020"/>
    </row>
    <row r="22" spans="1:21" ht="12.75">
      <c r="A22" s="1624"/>
      <c r="B22" s="1676"/>
      <c r="C22" s="2004"/>
      <c r="D22" s="2005"/>
      <c r="E22" s="1677"/>
      <c r="F22" s="1016"/>
      <c r="G22" s="1016"/>
      <c r="H22" s="1016"/>
      <c r="I22" s="1016"/>
      <c r="J22" s="1016"/>
      <c r="K22" s="1016"/>
      <c r="L22" s="1673"/>
      <c r="M22" s="1016"/>
      <c r="N22" s="1016"/>
      <c r="O22" s="1674"/>
      <c r="P22" s="1673"/>
      <c r="Q22" s="1674"/>
      <c r="R22" s="1622"/>
      <c r="S22" s="1670"/>
      <c r="U22" s="1020"/>
    </row>
    <row r="23" spans="1:21" ht="15" customHeight="1">
      <c r="A23" s="1638" t="s">
        <v>482</v>
      </c>
      <c r="B23" s="1671" t="s">
        <v>558</v>
      </c>
      <c r="C23" s="1683">
        <v>85753</v>
      </c>
      <c r="D23" s="1019">
        <v>100433</v>
      </c>
      <c r="E23" s="1672">
        <f aca="true" t="shared" si="1" ref="E23:E33">SUM(F23:Q23)</f>
        <v>99261</v>
      </c>
      <c r="F23" s="1016">
        <f>61852+745</f>
        <v>62597</v>
      </c>
      <c r="G23" s="1016">
        <v>16141</v>
      </c>
      <c r="H23" s="1016">
        <f>2644+8642+3434+2103</f>
        <v>16823</v>
      </c>
      <c r="I23" s="1016"/>
      <c r="J23" s="1016"/>
      <c r="K23" s="1016"/>
      <c r="L23" s="1673">
        <f>386+104</f>
        <v>490</v>
      </c>
      <c r="M23" s="1016">
        <f>2528+682</f>
        <v>3210</v>
      </c>
      <c r="N23" s="1016"/>
      <c r="O23" s="1674"/>
      <c r="P23" s="1673"/>
      <c r="Q23" s="1674"/>
      <c r="R23" s="1678">
        <v>27</v>
      </c>
      <c r="S23" s="1670"/>
      <c r="U23" s="1020"/>
    </row>
    <row r="24" spans="1:21" ht="15" customHeight="1">
      <c r="A24" s="1638" t="s">
        <v>155</v>
      </c>
      <c r="B24" s="1671" t="s">
        <v>559</v>
      </c>
      <c r="C24" s="1683">
        <v>69380</v>
      </c>
      <c r="D24" s="1019">
        <v>216726</v>
      </c>
      <c r="E24" s="1672">
        <f t="shared" si="1"/>
        <v>165472</v>
      </c>
      <c r="F24" s="1016">
        <f>68783+1074</f>
        <v>69857</v>
      </c>
      <c r="G24" s="1016">
        <f>17421-1</f>
        <v>17420</v>
      </c>
      <c r="H24" s="1016">
        <f>39383+12594+13106+2226</f>
        <v>67309</v>
      </c>
      <c r="I24" s="1016"/>
      <c r="J24" s="1016"/>
      <c r="K24" s="1016"/>
      <c r="L24" s="1673">
        <f>995+100+4314+1165</f>
        <v>6574</v>
      </c>
      <c r="M24" s="1016">
        <f>2067+1328+917</f>
        <v>4312</v>
      </c>
      <c r="N24" s="1016"/>
      <c r="O24" s="1674"/>
      <c r="P24" s="1673"/>
      <c r="Q24" s="1674"/>
      <c r="R24" s="1678">
        <v>65</v>
      </c>
      <c r="S24" s="1670"/>
      <c r="U24" s="1020"/>
    </row>
    <row r="25" spans="1:21" ht="15" customHeight="1">
      <c r="A25" s="1638" t="s">
        <v>156</v>
      </c>
      <c r="B25" s="1671" t="s">
        <v>560</v>
      </c>
      <c r="C25" s="1683">
        <v>82058</v>
      </c>
      <c r="D25" s="1019">
        <v>98007</v>
      </c>
      <c r="E25" s="1672">
        <f t="shared" si="1"/>
        <v>96629</v>
      </c>
      <c r="F25" s="1016">
        <f>59348+1042</f>
        <v>60390</v>
      </c>
      <c r="G25" s="1016">
        <v>14995</v>
      </c>
      <c r="H25" s="1016">
        <f>2999+7312+3030+2677</f>
        <v>16018</v>
      </c>
      <c r="I25" s="1016"/>
      <c r="J25" s="1016"/>
      <c r="K25" s="1016"/>
      <c r="L25" s="1673"/>
      <c r="M25" s="1016">
        <v>5226</v>
      </c>
      <c r="N25" s="1016"/>
      <c r="O25" s="1674"/>
      <c r="P25" s="1673"/>
      <c r="Q25" s="1674"/>
      <c r="R25" s="1678">
        <v>28</v>
      </c>
      <c r="S25" s="1670"/>
      <c r="U25" s="1020"/>
    </row>
    <row r="26" spans="1:21" ht="15" customHeight="1">
      <c r="A26" s="1638" t="s">
        <v>157</v>
      </c>
      <c r="B26" s="1671" t="s">
        <v>561</v>
      </c>
      <c r="C26" s="1683">
        <v>74472</v>
      </c>
      <c r="D26" s="1019">
        <v>85003</v>
      </c>
      <c r="E26" s="1672">
        <f t="shared" si="1"/>
        <v>83158</v>
      </c>
      <c r="F26" s="1016">
        <f>54416+984</f>
        <v>55400</v>
      </c>
      <c r="G26" s="1016">
        <v>13852</v>
      </c>
      <c r="H26" s="1016">
        <f>3472+6422+2693+1319</f>
        <v>13906</v>
      </c>
      <c r="I26" s="1016"/>
      <c r="J26" s="1016"/>
      <c r="K26" s="1016"/>
      <c r="L26" s="1673"/>
      <c r="M26" s="1016"/>
      <c r="N26" s="1016"/>
      <c r="O26" s="1674"/>
      <c r="P26" s="1673"/>
      <c r="Q26" s="1674"/>
      <c r="R26" s="1678">
        <v>25</v>
      </c>
      <c r="S26" s="1670"/>
      <c r="U26" s="1020"/>
    </row>
    <row r="27" spans="1:21" ht="15" customHeight="1">
      <c r="A27" s="1638" t="s">
        <v>158</v>
      </c>
      <c r="B27" s="1671" t="s">
        <v>562</v>
      </c>
      <c r="C27" s="1683">
        <v>147170</v>
      </c>
      <c r="D27" s="1019">
        <v>167352</v>
      </c>
      <c r="E27" s="1672">
        <f t="shared" si="1"/>
        <v>165808</v>
      </c>
      <c r="F27" s="1016">
        <f>105676+2162-1</f>
        <v>107837</v>
      </c>
      <c r="G27" s="1016">
        <v>25959</v>
      </c>
      <c r="H27" s="1016">
        <f>7133+11790+5135+5888</f>
        <v>29946</v>
      </c>
      <c r="I27" s="1016"/>
      <c r="J27" s="1016"/>
      <c r="K27" s="1016"/>
      <c r="L27" s="1673"/>
      <c r="M27" s="1016">
        <v>2066</v>
      </c>
      <c r="N27" s="1016"/>
      <c r="O27" s="1674"/>
      <c r="P27" s="1673"/>
      <c r="Q27" s="1674"/>
      <c r="R27" s="1678">
        <v>49</v>
      </c>
      <c r="S27" s="1670"/>
      <c r="U27" s="1020"/>
    </row>
    <row r="28" spans="1:21" ht="15" customHeight="1">
      <c r="A28" s="1638" t="s">
        <v>159</v>
      </c>
      <c r="B28" s="1671" t="s">
        <v>563</v>
      </c>
      <c r="C28" s="1683">
        <v>70314</v>
      </c>
      <c r="D28" s="1019">
        <v>82380</v>
      </c>
      <c r="E28" s="1672">
        <f t="shared" si="1"/>
        <v>80611</v>
      </c>
      <c r="F28" s="1016">
        <f>53951+1296</f>
        <v>55247</v>
      </c>
      <c r="G28" s="1016">
        <v>13278</v>
      </c>
      <c r="H28" s="1016">
        <f>2493+5292+2199+1870-1</f>
        <v>11853</v>
      </c>
      <c r="I28" s="1016"/>
      <c r="J28" s="1016"/>
      <c r="K28" s="1016"/>
      <c r="L28" s="1673">
        <f>169+46</f>
        <v>215</v>
      </c>
      <c r="M28" s="1016">
        <f>14+4</f>
        <v>18</v>
      </c>
      <c r="N28" s="1016"/>
      <c r="O28" s="1674"/>
      <c r="P28" s="1673"/>
      <c r="Q28" s="1674"/>
      <c r="R28" s="1678">
        <v>25</v>
      </c>
      <c r="S28" s="1670"/>
      <c r="U28" s="1020"/>
    </row>
    <row r="29" spans="1:21" ht="15" customHeight="1">
      <c r="A29" s="1638" t="s">
        <v>160</v>
      </c>
      <c r="B29" s="1671" t="s">
        <v>564</v>
      </c>
      <c r="C29" s="1683">
        <v>74348</v>
      </c>
      <c r="D29" s="1019">
        <v>88943</v>
      </c>
      <c r="E29" s="1672">
        <f t="shared" si="1"/>
        <v>84583</v>
      </c>
      <c r="F29" s="1016">
        <f>53992+956</f>
        <v>54948</v>
      </c>
      <c r="G29" s="1016">
        <v>12879</v>
      </c>
      <c r="H29" s="1016">
        <f>2999+5670+2325+1783</f>
        <v>12777</v>
      </c>
      <c r="I29" s="1016"/>
      <c r="J29" s="1016"/>
      <c r="K29" s="1016"/>
      <c r="L29" s="1673"/>
      <c r="M29" s="1016">
        <v>3979</v>
      </c>
      <c r="N29" s="1016"/>
      <c r="O29" s="1674"/>
      <c r="P29" s="1673"/>
      <c r="Q29" s="1674"/>
      <c r="R29" s="1678">
        <v>25</v>
      </c>
      <c r="S29" s="1670"/>
      <c r="U29" s="1020"/>
    </row>
    <row r="30" spans="1:21" ht="15" customHeight="1">
      <c r="A30" s="1638" t="s">
        <v>161</v>
      </c>
      <c r="B30" s="1671" t="s">
        <v>565</v>
      </c>
      <c r="C30" s="1683">
        <v>161702</v>
      </c>
      <c r="D30" s="1019">
        <v>207384</v>
      </c>
      <c r="E30" s="1672">
        <f t="shared" si="1"/>
        <v>201568</v>
      </c>
      <c r="F30" s="1016">
        <f>110041+17646</f>
        <v>127687</v>
      </c>
      <c r="G30" s="1016">
        <v>30493</v>
      </c>
      <c r="H30" s="1016">
        <f>7997+22286+5779+6391</f>
        <v>42453</v>
      </c>
      <c r="I30" s="1016"/>
      <c r="J30" s="1016"/>
      <c r="K30" s="1016"/>
      <c r="L30" s="1673">
        <f>331+89-1</f>
        <v>419</v>
      </c>
      <c r="M30" s="1016">
        <f>406+110</f>
        <v>516</v>
      </c>
      <c r="N30" s="1016"/>
      <c r="O30" s="1674"/>
      <c r="P30" s="1673"/>
      <c r="Q30" s="1674"/>
      <c r="R30" s="1678">
        <v>52</v>
      </c>
      <c r="S30" s="1670"/>
      <c r="U30" s="1020"/>
    </row>
    <row r="31" spans="1:21" ht="15" customHeight="1">
      <c r="A31" s="1638" t="s">
        <v>162</v>
      </c>
      <c r="B31" s="1671" t="s">
        <v>566</v>
      </c>
      <c r="C31" s="1683">
        <v>72885</v>
      </c>
      <c r="D31" s="1019">
        <v>87896</v>
      </c>
      <c r="E31" s="1672">
        <f t="shared" si="1"/>
        <v>85154</v>
      </c>
      <c r="F31" s="1016">
        <f>55435+650</f>
        <v>56085</v>
      </c>
      <c r="G31" s="1016">
        <v>14265</v>
      </c>
      <c r="H31" s="1016">
        <f>2911+7896+2937+1060</f>
        <v>14804</v>
      </c>
      <c r="I31" s="1016"/>
      <c r="J31" s="1016"/>
      <c r="K31" s="1016"/>
      <c r="L31" s="1673"/>
      <c r="M31" s="1016"/>
      <c r="N31" s="1016"/>
      <c r="O31" s="1674"/>
      <c r="P31" s="1673"/>
      <c r="Q31" s="1674"/>
      <c r="R31" s="1678">
        <v>26</v>
      </c>
      <c r="S31" s="1670"/>
      <c r="U31" s="1020"/>
    </row>
    <row r="32" spans="1:21" ht="15" customHeight="1">
      <c r="A32" s="1638" t="s">
        <v>163</v>
      </c>
      <c r="B32" s="1671" t="s">
        <v>567</v>
      </c>
      <c r="C32" s="1683">
        <v>92678</v>
      </c>
      <c r="D32" s="1019">
        <v>112312</v>
      </c>
      <c r="E32" s="1672">
        <f t="shared" si="1"/>
        <v>105988</v>
      </c>
      <c r="F32" s="1016">
        <f>61331+792</f>
        <v>62123</v>
      </c>
      <c r="G32" s="1016">
        <v>15563</v>
      </c>
      <c r="H32" s="1016">
        <f>2672+8279+3028+3100</f>
        <v>17079</v>
      </c>
      <c r="I32" s="1016"/>
      <c r="J32" s="1016"/>
      <c r="K32" s="1016"/>
      <c r="L32" s="1673"/>
      <c r="M32" s="1016">
        <v>11223</v>
      </c>
      <c r="N32" s="1016"/>
      <c r="O32" s="1674"/>
      <c r="P32" s="1673"/>
      <c r="Q32" s="1674"/>
      <c r="R32" s="1678">
        <v>27</v>
      </c>
      <c r="S32" s="1670"/>
      <c r="U32" s="1020"/>
    </row>
    <row r="33" spans="1:21" ht="15" customHeight="1">
      <c r="A33" s="1638" t="s">
        <v>164</v>
      </c>
      <c r="B33" s="1671" t="s">
        <v>568</v>
      </c>
      <c r="C33" s="1683">
        <v>125761</v>
      </c>
      <c r="D33" s="1019">
        <v>147525</v>
      </c>
      <c r="E33" s="1672">
        <f t="shared" si="1"/>
        <v>146762</v>
      </c>
      <c r="F33" s="1016">
        <f>90762+2375</f>
        <v>93137</v>
      </c>
      <c r="G33" s="1016">
        <v>23562</v>
      </c>
      <c r="H33" s="1016">
        <f>4058+8739+4223+3970+1</f>
        <v>20991</v>
      </c>
      <c r="I33" s="1016"/>
      <c r="J33" s="1016"/>
      <c r="K33" s="1016"/>
      <c r="L33" s="1673">
        <f>315+145+124</f>
        <v>584</v>
      </c>
      <c r="M33" s="1016">
        <f>3033+3652+1804-1</f>
        <v>8488</v>
      </c>
      <c r="N33" s="1016"/>
      <c r="O33" s="1674"/>
      <c r="P33" s="1673"/>
      <c r="Q33" s="1674"/>
      <c r="R33" s="1678">
        <v>40</v>
      </c>
      <c r="S33" s="1670"/>
      <c r="U33" s="1020"/>
    </row>
    <row r="34" spans="1:21" ht="12.75">
      <c r="A34" s="1638"/>
      <c r="B34" s="1679"/>
      <c r="C34" s="1680"/>
      <c r="D34" s="1681"/>
      <c r="E34" s="1672"/>
      <c r="F34" s="1016"/>
      <c r="G34" s="1016"/>
      <c r="H34" s="1016"/>
      <c r="I34" s="1016"/>
      <c r="J34" s="1016"/>
      <c r="K34" s="1016"/>
      <c r="L34" s="1673"/>
      <c r="M34" s="1016"/>
      <c r="N34" s="1016"/>
      <c r="O34" s="1674"/>
      <c r="P34" s="1673"/>
      <c r="Q34" s="1674"/>
      <c r="R34" s="1678"/>
      <c r="S34" s="1670"/>
      <c r="U34" s="1020"/>
    </row>
    <row r="35" spans="1:21" ht="19.5" customHeight="1">
      <c r="A35" s="2025"/>
      <c r="B35" s="2026" t="s">
        <v>58</v>
      </c>
      <c r="C35" s="2027">
        <f>SUM(C23:C34)</f>
        <v>1056521</v>
      </c>
      <c r="D35" s="2028">
        <f>SUM(D23:D34)</f>
        <v>1393961</v>
      </c>
      <c r="E35" s="2021">
        <f aca="true" t="shared" si="2" ref="E35:S35">SUM(E23:E34)</f>
        <v>1314994</v>
      </c>
      <c r="F35" s="2035">
        <f t="shared" si="2"/>
        <v>805308</v>
      </c>
      <c r="G35" s="2036">
        <f t="shared" si="2"/>
        <v>198407</v>
      </c>
      <c r="H35" s="2036">
        <f t="shared" si="2"/>
        <v>263959</v>
      </c>
      <c r="I35" s="2035">
        <f t="shared" si="2"/>
        <v>0</v>
      </c>
      <c r="J35" s="2036">
        <f t="shared" si="2"/>
        <v>0</v>
      </c>
      <c r="K35" s="2035">
        <f t="shared" si="2"/>
        <v>0</v>
      </c>
      <c r="L35" s="2022">
        <f t="shared" si="2"/>
        <v>8282</v>
      </c>
      <c r="M35" s="2036">
        <f t="shared" si="2"/>
        <v>39038</v>
      </c>
      <c r="N35" s="2035">
        <f t="shared" si="2"/>
        <v>0</v>
      </c>
      <c r="O35" s="2021">
        <f t="shared" si="2"/>
        <v>0</v>
      </c>
      <c r="P35" s="2022">
        <f t="shared" si="2"/>
        <v>0</v>
      </c>
      <c r="Q35" s="2021">
        <f t="shared" si="2"/>
        <v>0</v>
      </c>
      <c r="R35" s="2037">
        <f t="shared" si="2"/>
        <v>389</v>
      </c>
      <c r="S35" s="2038">
        <f t="shared" si="2"/>
        <v>0</v>
      </c>
      <c r="T35" s="1682"/>
      <c r="U35" s="1020"/>
    </row>
    <row r="36" spans="1:21" ht="12.75">
      <c r="A36" s="1624"/>
      <c r="B36" s="1623"/>
      <c r="C36" s="1683"/>
      <c r="D36" s="1684"/>
      <c r="E36" s="1672"/>
      <c r="F36" s="1016"/>
      <c r="G36" s="1016"/>
      <c r="H36" s="1016"/>
      <c r="I36" s="1016"/>
      <c r="J36" s="1016"/>
      <c r="K36" s="1016"/>
      <c r="L36" s="1673"/>
      <c r="M36" s="1016"/>
      <c r="N36" s="1016"/>
      <c r="O36" s="1674"/>
      <c r="P36" s="1673"/>
      <c r="Q36" s="1674"/>
      <c r="R36" s="1622"/>
      <c r="S36" s="1670"/>
      <c r="U36" s="1020"/>
    </row>
    <row r="37" spans="1:21" ht="15" customHeight="1">
      <c r="A37" s="1638" t="s">
        <v>482</v>
      </c>
      <c r="B37" s="1671" t="s">
        <v>212</v>
      </c>
      <c r="C37" s="1683">
        <v>46880</v>
      </c>
      <c r="D37" s="1019">
        <v>52768</v>
      </c>
      <c r="E37" s="1672">
        <f>SUM(F37:Q37)</f>
        <v>52536</v>
      </c>
      <c r="F37" s="1016">
        <f>26592+271</f>
        <v>26863</v>
      </c>
      <c r="G37" s="1016">
        <v>6665</v>
      </c>
      <c r="H37" s="1016">
        <f>4180+9745+4103+981-1</f>
        <v>19008</v>
      </c>
      <c r="I37" s="1016"/>
      <c r="J37" s="1016"/>
      <c r="K37" s="1016"/>
      <c r="L37" s="1673"/>
      <c r="M37" s="1016"/>
      <c r="N37" s="1016"/>
      <c r="O37" s="1674"/>
      <c r="P37" s="1673"/>
      <c r="Q37" s="1674"/>
      <c r="R37" s="1678">
        <v>10</v>
      </c>
      <c r="S37" s="1670"/>
      <c r="U37" s="1020"/>
    </row>
    <row r="38" spans="1:21" ht="15" customHeight="1">
      <c r="A38" s="1638" t="s">
        <v>155</v>
      </c>
      <c r="B38" s="1671" t="s">
        <v>925</v>
      </c>
      <c r="C38" s="1683">
        <v>149592</v>
      </c>
      <c r="D38" s="1019">
        <v>146418</v>
      </c>
      <c r="E38" s="1672">
        <f>SUM(F38:Q38)</f>
        <v>138674</v>
      </c>
      <c r="F38" s="1016">
        <f>57896+2716</f>
        <v>60612</v>
      </c>
      <c r="G38" s="1016">
        <v>14666</v>
      </c>
      <c r="H38" s="1016">
        <f>4535+41309+11642+3377-1</f>
        <v>60862</v>
      </c>
      <c r="I38" s="1016"/>
      <c r="J38" s="1016"/>
      <c r="K38" s="1016"/>
      <c r="L38" s="1673">
        <f>110+118+61</f>
        <v>289</v>
      </c>
      <c r="M38" s="1016">
        <f>1768+477</f>
        <v>2245</v>
      </c>
      <c r="N38" s="1016"/>
      <c r="O38" s="1674"/>
      <c r="P38" s="1673"/>
      <c r="Q38" s="1674"/>
      <c r="R38" s="1678">
        <v>29</v>
      </c>
      <c r="S38" s="1670"/>
      <c r="U38" s="1020"/>
    </row>
    <row r="39" spans="1:21" ht="15" customHeight="1">
      <c r="A39" s="1638" t="s">
        <v>156</v>
      </c>
      <c r="B39" s="1671" t="s">
        <v>926</v>
      </c>
      <c r="C39" s="1683">
        <v>124487</v>
      </c>
      <c r="D39" s="1019">
        <v>122740</v>
      </c>
      <c r="E39" s="1672">
        <f>SUM(F39:Q39)</f>
        <v>114034</v>
      </c>
      <c r="F39" s="1016">
        <f>50584+1248</f>
        <v>51832</v>
      </c>
      <c r="G39" s="1016">
        <v>12593</v>
      </c>
      <c r="H39" s="1016">
        <f>2874+35092+8597+3046</f>
        <v>49609</v>
      </c>
      <c r="I39" s="1016"/>
      <c r="J39" s="1016"/>
      <c r="K39" s="1016"/>
      <c r="L39" s="1673"/>
      <c r="M39" s="1016"/>
      <c r="N39" s="1016"/>
      <c r="O39" s="1674"/>
      <c r="P39" s="1673"/>
      <c r="Q39" s="1674"/>
      <c r="R39" s="1678">
        <v>25</v>
      </c>
      <c r="S39" s="1670"/>
      <c r="U39" s="1020"/>
    </row>
    <row r="40" spans="1:21" ht="15" customHeight="1">
      <c r="A40" s="1638" t="s">
        <v>157</v>
      </c>
      <c r="B40" s="1671" t="s">
        <v>927</v>
      </c>
      <c r="C40" s="1683">
        <v>85145</v>
      </c>
      <c r="D40" s="1019">
        <v>87675</v>
      </c>
      <c r="E40" s="1672">
        <f>SUM(F40:Q40)</f>
        <v>82300</v>
      </c>
      <c r="F40" s="1016">
        <f>33662+410</f>
        <v>34072</v>
      </c>
      <c r="G40" s="1016">
        <v>8484</v>
      </c>
      <c r="H40" s="1016">
        <f>3632+27116+8066+931-1</f>
        <v>39744</v>
      </c>
      <c r="I40" s="1016"/>
      <c r="J40" s="1016"/>
      <c r="K40" s="1016"/>
      <c r="L40" s="1673"/>
      <c r="M40" s="1016"/>
      <c r="N40" s="1016"/>
      <c r="O40" s="1674"/>
      <c r="P40" s="1673"/>
      <c r="Q40" s="1674"/>
      <c r="R40" s="1678">
        <v>14</v>
      </c>
      <c r="S40" s="1670"/>
      <c r="U40" s="1020"/>
    </row>
    <row r="41" spans="1:21" ht="15" customHeight="1">
      <c r="A41" s="1638" t="s">
        <v>158</v>
      </c>
      <c r="B41" s="1671" t="s">
        <v>928</v>
      </c>
      <c r="C41" s="1683">
        <v>135965</v>
      </c>
      <c r="D41" s="1019">
        <v>148758</v>
      </c>
      <c r="E41" s="1672">
        <f>SUM(F41:Q41)</f>
        <v>140630</v>
      </c>
      <c r="F41" s="1016">
        <f>76998+10160</f>
        <v>87158</v>
      </c>
      <c r="G41" s="1016">
        <v>21722</v>
      </c>
      <c r="H41" s="1016">
        <f>7113+15089+5907+3256</f>
        <v>31365</v>
      </c>
      <c r="I41" s="1016"/>
      <c r="J41" s="1016"/>
      <c r="K41" s="1016"/>
      <c r="L41" s="1673">
        <v>385</v>
      </c>
      <c r="M41" s="1016"/>
      <c r="N41" s="1016"/>
      <c r="O41" s="1674"/>
      <c r="P41" s="1673"/>
      <c r="Q41" s="1674"/>
      <c r="R41" s="1678">
        <v>30</v>
      </c>
      <c r="S41" s="1670"/>
      <c r="U41" s="1020"/>
    </row>
    <row r="42" spans="1:21" ht="12.75">
      <c r="A42" s="1638"/>
      <c r="B42" s="1623"/>
      <c r="C42" s="1683"/>
      <c r="D42" s="1684"/>
      <c r="E42" s="1672"/>
      <c r="F42" s="1016"/>
      <c r="G42" s="1016"/>
      <c r="H42" s="1016"/>
      <c r="I42" s="1016"/>
      <c r="J42" s="1016"/>
      <c r="K42" s="1016"/>
      <c r="L42" s="1673"/>
      <c r="M42" s="1016"/>
      <c r="N42" s="1016"/>
      <c r="O42" s="1674"/>
      <c r="P42" s="1673"/>
      <c r="Q42" s="1674"/>
      <c r="R42" s="1678"/>
      <c r="S42" s="1670"/>
      <c r="U42" s="1020"/>
    </row>
    <row r="43" spans="1:21" ht="19.5" customHeight="1">
      <c r="A43" s="2025"/>
      <c r="B43" s="2039" t="s">
        <v>213</v>
      </c>
      <c r="C43" s="2040">
        <f>SUM(C37:C42)</f>
        <v>542069</v>
      </c>
      <c r="D43" s="2041">
        <f>SUM(D37:D42)</f>
        <v>558359</v>
      </c>
      <c r="E43" s="2021">
        <f aca="true" t="shared" si="3" ref="E43:S43">SUM(E37:E42)</f>
        <v>528174</v>
      </c>
      <c r="F43" s="2035">
        <f t="shared" si="3"/>
        <v>260537</v>
      </c>
      <c r="G43" s="2036">
        <f t="shared" si="3"/>
        <v>64130</v>
      </c>
      <c r="H43" s="2035">
        <f t="shared" si="3"/>
        <v>200588</v>
      </c>
      <c r="I43" s="2036">
        <f t="shared" si="3"/>
        <v>0</v>
      </c>
      <c r="J43" s="2036">
        <f t="shared" si="3"/>
        <v>0</v>
      </c>
      <c r="K43" s="2035">
        <f t="shared" si="3"/>
        <v>0</v>
      </c>
      <c r="L43" s="2022">
        <f>SUM(L37:L42)</f>
        <v>674</v>
      </c>
      <c r="M43" s="2036">
        <f>SUM(M37:M42)</f>
        <v>2245</v>
      </c>
      <c r="N43" s="2036">
        <f t="shared" si="3"/>
        <v>0</v>
      </c>
      <c r="O43" s="2021">
        <f t="shared" si="3"/>
        <v>0</v>
      </c>
      <c r="P43" s="2022">
        <f t="shared" si="3"/>
        <v>0</v>
      </c>
      <c r="Q43" s="2021">
        <f t="shared" si="3"/>
        <v>0</v>
      </c>
      <c r="R43" s="2037">
        <f t="shared" si="3"/>
        <v>108</v>
      </c>
      <c r="S43" s="2038">
        <f t="shared" si="3"/>
        <v>0</v>
      </c>
      <c r="U43" s="1020"/>
    </row>
    <row r="44" spans="1:21" ht="12.75">
      <c r="A44" s="2042"/>
      <c r="B44" s="2043"/>
      <c r="C44" s="2044"/>
      <c r="D44" s="2045"/>
      <c r="E44" s="2046"/>
      <c r="F44" s="2047"/>
      <c r="G44" s="2047"/>
      <c r="H44" s="2047"/>
      <c r="I44" s="2047"/>
      <c r="J44" s="2047"/>
      <c r="K44" s="2047"/>
      <c r="L44" s="2048"/>
      <c r="M44" s="2047"/>
      <c r="N44" s="2047"/>
      <c r="O44" s="2049"/>
      <c r="P44" s="2048"/>
      <c r="Q44" s="2049"/>
      <c r="R44" s="2050"/>
      <c r="S44" s="2049"/>
      <c r="U44" s="1020"/>
    </row>
    <row r="45" spans="1:21" ht="15" customHeight="1">
      <c r="A45" s="2012" t="s">
        <v>482</v>
      </c>
      <c r="B45" s="2013" t="s">
        <v>569</v>
      </c>
      <c r="C45" s="2014">
        <v>217715</v>
      </c>
      <c r="D45" s="2015">
        <v>342949</v>
      </c>
      <c r="E45" s="2016">
        <f>SUM(F45:Q45)</f>
        <v>325973</v>
      </c>
      <c r="F45" s="2017">
        <f>139540+5362</f>
        <v>144902</v>
      </c>
      <c r="G45" s="2018">
        <v>32366</v>
      </c>
      <c r="H45" s="2018">
        <f>14086+49790+20001+10362</f>
        <v>94239</v>
      </c>
      <c r="I45" s="2018"/>
      <c r="J45" s="2018"/>
      <c r="K45" s="2018"/>
      <c r="L45" s="2019">
        <v>54466</v>
      </c>
      <c r="M45" s="2020"/>
      <c r="N45" s="2020"/>
      <c r="O45" s="2021"/>
      <c r="P45" s="2022"/>
      <c r="Q45" s="2021"/>
      <c r="R45" s="2023">
        <v>91</v>
      </c>
      <c r="S45" s="2024">
        <v>4</v>
      </c>
      <c r="U45" s="1020"/>
    </row>
    <row r="46" spans="1:21" ht="12.75">
      <c r="A46" s="2042"/>
      <c r="B46" s="2043"/>
      <c r="C46" s="2044"/>
      <c r="D46" s="2045"/>
      <c r="E46" s="2046"/>
      <c r="F46" s="2051"/>
      <c r="G46" s="2051"/>
      <c r="H46" s="2051"/>
      <c r="I46" s="2051"/>
      <c r="J46" s="2051"/>
      <c r="K46" s="2051"/>
      <c r="L46" s="2052"/>
      <c r="M46" s="2051"/>
      <c r="N46" s="2051"/>
      <c r="O46" s="2053"/>
      <c r="P46" s="2052"/>
      <c r="Q46" s="2053"/>
      <c r="R46" s="2054"/>
      <c r="S46" s="2055"/>
      <c r="U46" s="1020"/>
    </row>
    <row r="47" spans="1:21" ht="12.75" hidden="1">
      <c r="A47" s="2056"/>
      <c r="B47" s="2057"/>
      <c r="C47" s="2058"/>
      <c r="D47" s="2059"/>
      <c r="E47" s="2060"/>
      <c r="F47" s="2051"/>
      <c r="G47" s="2051"/>
      <c r="H47" s="2051"/>
      <c r="I47" s="2051"/>
      <c r="J47" s="2051"/>
      <c r="K47" s="2051"/>
      <c r="L47" s="2052"/>
      <c r="M47" s="2051"/>
      <c r="N47" s="2051"/>
      <c r="O47" s="2053"/>
      <c r="P47" s="2052"/>
      <c r="Q47" s="2053"/>
      <c r="R47" s="2054"/>
      <c r="S47" s="2055"/>
      <c r="U47" s="1020"/>
    </row>
    <row r="48" spans="1:21" ht="12.75" hidden="1">
      <c r="A48" s="2056"/>
      <c r="B48" s="2057"/>
      <c r="C48" s="2058"/>
      <c r="D48" s="2059"/>
      <c r="E48" s="2060"/>
      <c r="F48" s="2051"/>
      <c r="G48" s="2051"/>
      <c r="H48" s="2051"/>
      <c r="I48" s="2051"/>
      <c r="J48" s="2051"/>
      <c r="K48" s="2051"/>
      <c r="L48" s="2052"/>
      <c r="M48" s="2051"/>
      <c r="N48" s="2051"/>
      <c r="O48" s="2053"/>
      <c r="P48" s="2052"/>
      <c r="Q48" s="2053"/>
      <c r="R48" s="2054"/>
      <c r="S48" s="2055"/>
      <c r="U48" s="1020"/>
    </row>
    <row r="49" spans="1:21" ht="12.75" hidden="1">
      <c r="A49" s="2056"/>
      <c r="B49" s="2057"/>
      <c r="C49" s="2058"/>
      <c r="D49" s="2059"/>
      <c r="E49" s="2060"/>
      <c r="F49" s="2051"/>
      <c r="G49" s="2051"/>
      <c r="H49" s="2051"/>
      <c r="I49" s="2051"/>
      <c r="J49" s="2051"/>
      <c r="K49" s="2051"/>
      <c r="L49" s="2052"/>
      <c r="M49" s="2051"/>
      <c r="N49" s="2051"/>
      <c r="O49" s="2053"/>
      <c r="P49" s="2052"/>
      <c r="Q49" s="2053"/>
      <c r="R49" s="2054"/>
      <c r="S49" s="2055"/>
      <c r="U49" s="1020"/>
    </row>
    <row r="50" spans="1:21" ht="19.5" customHeight="1" thickBot="1">
      <c r="A50" s="2061"/>
      <c r="B50" s="2062" t="s">
        <v>588</v>
      </c>
      <c r="C50" s="2063">
        <f>C21+C35+C43+C45</f>
        <v>2262695</v>
      </c>
      <c r="D50" s="2064">
        <f>D21+D35+D43+D45</f>
        <v>2817346</v>
      </c>
      <c r="E50" s="2065">
        <f aca="true" t="shared" si="4" ref="E50:S50">E21+E35+E43+E45</f>
        <v>2660278</v>
      </c>
      <c r="F50" s="2066">
        <f t="shared" si="4"/>
        <v>1474582</v>
      </c>
      <c r="G50" s="2067">
        <f t="shared" si="4"/>
        <v>359010</v>
      </c>
      <c r="H50" s="2067">
        <f>H21+H35+H43+H45</f>
        <v>700069</v>
      </c>
      <c r="I50" s="2067">
        <f t="shared" si="4"/>
        <v>0</v>
      </c>
      <c r="J50" s="2067">
        <f t="shared" si="4"/>
        <v>0</v>
      </c>
      <c r="K50" s="2067">
        <f t="shared" si="4"/>
        <v>0</v>
      </c>
      <c r="L50" s="2068">
        <f t="shared" si="4"/>
        <v>75296</v>
      </c>
      <c r="M50" s="2069">
        <f t="shared" si="4"/>
        <v>51321</v>
      </c>
      <c r="N50" s="2067">
        <f t="shared" si="4"/>
        <v>0</v>
      </c>
      <c r="O50" s="2065">
        <f t="shared" si="4"/>
        <v>0</v>
      </c>
      <c r="P50" s="2070">
        <f t="shared" si="4"/>
        <v>0</v>
      </c>
      <c r="Q50" s="2065">
        <f t="shared" si="4"/>
        <v>0</v>
      </c>
      <c r="R50" s="2071">
        <f t="shared" si="4"/>
        <v>726</v>
      </c>
      <c r="S50" s="2065">
        <f t="shared" si="4"/>
        <v>4</v>
      </c>
      <c r="U50" s="1020"/>
    </row>
    <row r="51" spans="3:19" ht="12.75">
      <c r="C51" s="1008"/>
      <c r="D51" s="1008"/>
      <c r="E51" s="1017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8"/>
      <c r="Q51" s="1008"/>
      <c r="R51" s="1008"/>
      <c r="S51" s="1008"/>
    </row>
    <row r="52" spans="1:19" ht="12.75">
      <c r="A52" s="1015"/>
      <c r="B52" s="1016"/>
      <c r="C52" s="1016"/>
      <c r="D52" s="1016"/>
      <c r="E52" s="1017"/>
      <c r="F52" s="1008"/>
      <c r="G52" s="1008"/>
      <c r="H52" s="1008"/>
      <c r="I52" s="1008"/>
      <c r="J52" s="1008"/>
      <c r="K52" s="1008"/>
      <c r="L52" s="1008"/>
      <c r="M52" s="1008"/>
      <c r="N52" s="1008"/>
      <c r="O52" s="1008"/>
      <c r="P52" s="1008"/>
      <c r="Q52" s="1008"/>
      <c r="R52" s="1008"/>
      <c r="S52" s="1008"/>
    </row>
    <row r="53" spans="1:19" ht="12.75">
      <c r="A53" s="1015"/>
      <c r="B53" s="1016"/>
      <c r="C53" s="1016"/>
      <c r="D53" s="1016"/>
      <c r="E53" s="1017"/>
      <c r="F53" s="1008"/>
      <c r="G53" s="1008"/>
      <c r="H53" s="1008"/>
      <c r="I53" s="1008"/>
      <c r="J53" s="1008"/>
      <c r="K53" s="1008"/>
      <c r="L53" s="1008"/>
      <c r="M53" s="1008"/>
      <c r="N53" s="1008"/>
      <c r="O53" s="1008"/>
      <c r="P53" s="1008"/>
      <c r="Q53" s="1008"/>
      <c r="R53" s="1008"/>
      <c r="S53" s="1008"/>
    </row>
    <row r="54" spans="1:19" ht="12.75">
      <c r="A54" s="1015"/>
      <c r="B54" s="1016"/>
      <c r="C54" s="1016"/>
      <c r="D54" s="1016"/>
      <c r="E54" s="1017"/>
      <c r="F54" s="1016"/>
      <c r="G54" s="1016"/>
      <c r="H54" s="1016"/>
      <c r="I54" s="1008"/>
      <c r="J54" s="1008"/>
      <c r="K54" s="1008"/>
      <c r="L54" s="1016"/>
      <c r="M54" s="1016"/>
      <c r="N54" s="1008"/>
      <c r="O54" s="1008"/>
      <c r="P54" s="1008"/>
      <c r="Q54" s="1008"/>
      <c r="R54" s="1008"/>
      <c r="S54" s="1008"/>
    </row>
    <row r="55" spans="1:19" ht="12.75">
      <c r="A55" s="1015"/>
      <c r="B55" s="1016"/>
      <c r="C55" s="1016"/>
      <c r="D55" s="1016"/>
      <c r="E55" s="1017"/>
      <c r="F55" s="1016"/>
      <c r="G55" s="1016"/>
      <c r="H55" s="1016"/>
      <c r="I55" s="1008"/>
      <c r="J55" s="1008"/>
      <c r="K55" s="1008"/>
      <c r="L55" s="1016"/>
      <c r="M55" s="1016"/>
      <c r="N55" s="1008"/>
      <c r="O55" s="1008"/>
      <c r="P55" s="1008"/>
      <c r="Q55" s="1008"/>
      <c r="R55" s="1008"/>
      <c r="S55" s="1008"/>
    </row>
    <row r="56" spans="1:19" ht="12.75">
      <c r="A56" s="1015"/>
      <c r="B56" s="1016"/>
      <c r="C56" s="1016"/>
      <c r="D56" s="1016"/>
      <c r="E56" s="1018"/>
      <c r="F56" s="1008"/>
      <c r="G56" s="1008"/>
      <c r="H56" s="1019"/>
      <c r="I56" s="1008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</row>
    <row r="57" spans="2:19" ht="12.75">
      <c r="B57" s="1016"/>
      <c r="C57" s="1016"/>
      <c r="D57" s="1016"/>
      <c r="E57" s="1017"/>
      <c r="F57" s="1008"/>
      <c r="G57" s="1008"/>
      <c r="H57" s="1008"/>
      <c r="I57" s="1019"/>
      <c r="J57" s="1008"/>
      <c r="K57" s="1008"/>
      <c r="L57" s="1019"/>
      <c r="M57" s="1019"/>
      <c r="N57" s="1008"/>
      <c r="O57" s="1008"/>
      <c r="P57" s="1008"/>
      <c r="Q57" s="1008"/>
      <c r="R57" s="1008"/>
      <c r="S57" s="1008"/>
    </row>
    <row r="58" spans="2:19" ht="12.75">
      <c r="B58" s="1016"/>
      <c r="C58" s="1016"/>
      <c r="D58" s="1016"/>
      <c r="E58" s="1018"/>
      <c r="F58" s="1008"/>
      <c r="G58" s="1008"/>
      <c r="H58" s="1019"/>
      <c r="I58" s="1008"/>
      <c r="J58" s="1008"/>
      <c r="K58" s="1008"/>
      <c r="L58" s="1008"/>
      <c r="M58" s="1008"/>
      <c r="N58" s="1008"/>
      <c r="O58" s="1008"/>
      <c r="P58" s="1008"/>
      <c r="Q58" s="1008"/>
      <c r="R58" s="1008"/>
      <c r="S58" s="1008"/>
    </row>
    <row r="59" spans="2:19" ht="12.75">
      <c r="B59" s="1016"/>
      <c r="C59" s="1016"/>
      <c r="D59" s="1016"/>
      <c r="E59" s="1018"/>
      <c r="F59" s="1008"/>
      <c r="G59" s="1008"/>
      <c r="H59" s="1008"/>
      <c r="I59" s="1008"/>
      <c r="J59" s="1008"/>
      <c r="K59" s="1008"/>
      <c r="L59" s="1008"/>
      <c r="M59" s="1008"/>
      <c r="N59" s="1008"/>
      <c r="O59" s="1008"/>
      <c r="P59" s="1008"/>
      <c r="Q59" s="1008"/>
      <c r="R59" s="1008"/>
      <c r="S59" s="1008"/>
    </row>
    <row r="60" spans="2:19" ht="12.75">
      <c r="B60" s="1016"/>
      <c r="C60" s="1016"/>
      <c r="D60" s="1016"/>
      <c r="E60" s="1018"/>
      <c r="F60" s="1008"/>
      <c r="G60" s="1008"/>
      <c r="H60" s="1008"/>
      <c r="I60" s="1008"/>
      <c r="J60" s="1008"/>
      <c r="K60" s="1008"/>
      <c r="L60" s="1008"/>
      <c r="M60" s="1008"/>
      <c r="N60" s="1008"/>
      <c r="O60" s="1008"/>
      <c r="P60" s="1008"/>
      <c r="Q60" s="1008"/>
      <c r="R60" s="1008"/>
      <c r="S60" s="1008"/>
    </row>
    <row r="61" spans="3:21" ht="12.75">
      <c r="C61" s="1019"/>
      <c r="D61" s="100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07"/>
      <c r="U61" s="1007"/>
    </row>
    <row r="62" spans="3:21" ht="12.75">
      <c r="C62" s="1019"/>
      <c r="D62" s="1019"/>
      <c r="E62" s="1018"/>
      <c r="F62" s="1018"/>
      <c r="G62" s="1018"/>
      <c r="H62" s="1018"/>
      <c r="I62" s="1018"/>
      <c r="J62" s="1018"/>
      <c r="K62" s="1018"/>
      <c r="L62" s="1018"/>
      <c r="M62" s="1018"/>
      <c r="N62" s="1018"/>
      <c r="O62" s="1018"/>
      <c r="P62" s="1018"/>
      <c r="Q62" s="1018"/>
      <c r="R62" s="1018"/>
      <c r="S62" s="1018"/>
      <c r="T62" s="1007"/>
      <c r="U62" s="1007"/>
    </row>
    <row r="63" spans="2:21" ht="12.75">
      <c r="B63" s="1020"/>
      <c r="C63" s="1019"/>
      <c r="D63" s="1019"/>
      <c r="E63" s="1016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07"/>
      <c r="U63" s="1007"/>
    </row>
    <row r="64" spans="3:21" ht="12.75">
      <c r="C64" s="1019"/>
      <c r="D64" s="1008"/>
      <c r="E64" s="1016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07"/>
      <c r="U64" s="1007"/>
    </row>
    <row r="65" spans="3:21" ht="12.75">
      <c r="C65" s="1019"/>
      <c r="D65" s="1008"/>
      <c r="E65" s="1016"/>
      <c r="F65" s="1018"/>
      <c r="G65" s="1018"/>
      <c r="H65" s="1018"/>
      <c r="I65" s="1018"/>
      <c r="J65" s="1018"/>
      <c r="K65" s="1018"/>
      <c r="L65" s="1018"/>
      <c r="M65" s="1018"/>
      <c r="N65" s="1018"/>
      <c r="O65" s="1018"/>
      <c r="P65" s="1018"/>
      <c r="Q65" s="1018"/>
      <c r="R65" s="1018"/>
      <c r="S65" s="1018"/>
      <c r="T65" s="1007"/>
      <c r="U65" s="1007"/>
    </row>
    <row r="66" spans="3:21" ht="12.75">
      <c r="C66" s="1019"/>
      <c r="D66" s="1008"/>
      <c r="E66" s="1016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18"/>
      <c r="S66" s="1018"/>
      <c r="T66" s="1007"/>
      <c r="U66" s="1007"/>
    </row>
    <row r="67" spans="3:21" ht="12.75">
      <c r="C67" s="1019"/>
      <c r="D67" s="1008"/>
      <c r="E67" s="1016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07"/>
      <c r="U67" s="1007"/>
    </row>
    <row r="68" spans="3:21" ht="12.75">
      <c r="C68" s="1019"/>
      <c r="D68" s="1008"/>
      <c r="E68" s="1016"/>
      <c r="F68" s="1018"/>
      <c r="G68" s="1018"/>
      <c r="H68" s="1018"/>
      <c r="I68" s="1018"/>
      <c r="J68" s="1018"/>
      <c r="K68" s="1018"/>
      <c r="L68" s="1018"/>
      <c r="M68" s="1018"/>
      <c r="N68" s="1018"/>
      <c r="O68" s="1018"/>
      <c r="P68" s="1018"/>
      <c r="Q68" s="1018"/>
      <c r="R68" s="1018"/>
      <c r="S68" s="1018"/>
      <c r="T68" s="1007"/>
      <c r="U68" s="1007"/>
    </row>
    <row r="69" spans="3:21" ht="12.75">
      <c r="C69" s="1019"/>
      <c r="D69" s="1008"/>
      <c r="E69" s="1016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07"/>
      <c r="U69" s="1007"/>
    </row>
    <row r="70" spans="2:21" ht="12.75">
      <c r="B70" s="1020"/>
      <c r="C70" s="1019"/>
      <c r="D70" s="1019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07"/>
      <c r="U70" s="1007"/>
    </row>
    <row r="71" spans="3:21" ht="12.75">
      <c r="C71" s="1019"/>
      <c r="D71" s="1008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/>
      <c r="R71" s="1018"/>
      <c r="S71" s="1018"/>
      <c r="T71" s="1007"/>
      <c r="U71" s="1007"/>
    </row>
    <row r="72" spans="3:21" ht="12.75">
      <c r="C72" s="1008"/>
      <c r="D72" s="1008"/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07"/>
      <c r="U72" s="1007"/>
    </row>
    <row r="73" spans="3:21" ht="12.75">
      <c r="C73" s="1019"/>
      <c r="D73" s="100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07"/>
      <c r="U73" s="1007"/>
    </row>
    <row r="74" spans="3:21" ht="12.75">
      <c r="C74" s="1008"/>
      <c r="D74" s="1008"/>
      <c r="E74" s="1018"/>
      <c r="F74" s="1018"/>
      <c r="G74" s="1018"/>
      <c r="H74" s="1018"/>
      <c r="I74" s="1018"/>
      <c r="J74" s="1018"/>
      <c r="K74" s="1018"/>
      <c r="L74" s="1018"/>
      <c r="M74" s="1018"/>
      <c r="N74" s="1018"/>
      <c r="O74" s="1018"/>
      <c r="P74" s="1018"/>
      <c r="Q74" s="1018"/>
      <c r="R74" s="1018"/>
      <c r="S74" s="1018"/>
      <c r="T74" s="1007"/>
      <c r="U74" s="1007"/>
    </row>
    <row r="75" spans="3:21" ht="12.75">
      <c r="C75" s="1019"/>
      <c r="D75" s="100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07"/>
      <c r="U75" s="1007"/>
    </row>
    <row r="76" spans="3:21" ht="12.75">
      <c r="C76" s="1019"/>
      <c r="D76" s="1008"/>
      <c r="E76" s="1018"/>
      <c r="F76" s="1018"/>
      <c r="G76" s="1018"/>
      <c r="H76" s="1018"/>
      <c r="I76" s="1018"/>
      <c r="J76" s="1018"/>
      <c r="K76" s="1018"/>
      <c r="L76" s="1018"/>
      <c r="M76" s="1018"/>
      <c r="N76" s="1018"/>
      <c r="O76" s="1018"/>
      <c r="P76" s="1018"/>
      <c r="Q76" s="1018"/>
      <c r="R76" s="1018"/>
      <c r="S76" s="1018"/>
      <c r="T76" s="1007"/>
      <c r="U76" s="1007"/>
    </row>
    <row r="77" spans="3:21" ht="12.75">
      <c r="C77" s="1019"/>
      <c r="D77" s="1008"/>
      <c r="E77" s="1018"/>
      <c r="F77" s="1018"/>
      <c r="G77" s="1018"/>
      <c r="H77" s="1018"/>
      <c r="I77" s="1018"/>
      <c r="J77" s="1018"/>
      <c r="K77" s="1018"/>
      <c r="L77" s="1018"/>
      <c r="M77" s="1018"/>
      <c r="N77" s="1018"/>
      <c r="O77" s="1018"/>
      <c r="P77" s="1018"/>
      <c r="Q77" s="1018"/>
      <c r="R77" s="1018"/>
      <c r="S77" s="1018"/>
      <c r="T77" s="1007"/>
      <c r="U77" s="1007"/>
    </row>
    <row r="78" spans="3:21" ht="12.75">
      <c r="C78" s="1019"/>
      <c r="D78" s="1008"/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07"/>
      <c r="U78" s="1007"/>
    </row>
    <row r="79" spans="3:21" ht="12.75">
      <c r="C79" s="1019"/>
      <c r="D79" s="100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07"/>
      <c r="U79" s="1007"/>
    </row>
    <row r="80" spans="3:21" ht="12.75">
      <c r="C80" s="1008"/>
      <c r="D80" s="1008"/>
      <c r="E80" s="1018"/>
      <c r="F80" s="1018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18"/>
      <c r="S80" s="1018"/>
      <c r="T80" s="1007"/>
      <c r="U80" s="1007"/>
    </row>
    <row r="81" spans="3:21" ht="12.75">
      <c r="C81" s="1020"/>
      <c r="E81" s="1018"/>
      <c r="F81" s="1018"/>
      <c r="G81" s="1018"/>
      <c r="H81" s="1018"/>
      <c r="I81" s="1018"/>
      <c r="J81" s="1018"/>
      <c r="K81" s="1018"/>
      <c r="L81" s="1018"/>
      <c r="M81" s="1018"/>
      <c r="N81" s="1018"/>
      <c r="O81" s="1018"/>
      <c r="P81" s="1018"/>
      <c r="Q81" s="1018"/>
      <c r="R81" s="1018"/>
      <c r="S81" s="1018"/>
      <c r="T81" s="1007"/>
      <c r="U81" s="1007"/>
    </row>
    <row r="82" spans="5:21" ht="12.75">
      <c r="E82" s="1018"/>
      <c r="F82" s="1018"/>
      <c r="G82" s="1018"/>
      <c r="H82" s="1018"/>
      <c r="I82" s="1018"/>
      <c r="J82" s="1018"/>
      <c r="K82" s="1018"/>
      <c r="L82" s="1018"/>
      <c r="M82" s="1018"/>
      <c r="N82" s="1018"/>
      <c r="O82" s="1018"/>
      <c r="P82" s="1018"/>
      <c r="Q82" s="1018"/>
      <c r="R82" s="1018"/>
      <c r="S82" s="1018"/>
      <c r="T82" s="1007"/>
      <c r="U82" s="1007"/>
    </row>
    <row r="83" spans="3:21" ht="12.75">
      <c r="C83" s="1020"/>
      <c r="E83" s="1018"/>
      <c r="F83" s="1018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18"/>
      <c r="S83" s="1018"/>
      <c r="T83" s="1007"/>
      <c r="U83" s="1007"/>
    </row>
    <row r="84" spans="5:21" ht="12.75"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18"/>
      <c r="S84" s="1018"/>
      <c r="T84" s="1007"/>
      <c r="U84" s="1007"/>
    </row>
    <row r="85" spans="3:21" ht="12.75">
      <c r="C85" s="1020"/>
      <c r="E85" s="1018"/>
      <c r="F85" s="1018"/>
      <c r="G85" s="1018"/>
      <c r="H85" s="1018"/>
      <c r="I85" s="1018"/>
      <c r="J85" s="1018"/>
      <c r="K85" s="1018"/>
      <c r="L85" s="1018"/>
      <c r="M85" s="1018"/>
      <c r="N85" s="1018"/>
      <c r="O85" s="1018"/>
      <c r="P85" s="1018"/>
      <c r="Q85" s="1018"/>
      <c r="R85" s="1018"/>
      <c r="S85" s="1018"/>
      <c r="T85" s="1007"/>
      <c r="U85" s="1007"/>
    </row>
    <row r="86" spans="5:21" ht="12.75">
      <c r="E86" s="1018"/>
      <c r="F86" s="1018"/>
      <c r="G86" s="1018"/>
      <c r="H86" s="1018"/>
      <c r="I86" s="1018"/>
      <c r="J86" s="1018"/>
      <c r="K86" s="1018"/>
      <c r="L86" s="1018"/>
      <c r="M86" s="1018"/>
      <c r="N86" s="1018"/>
      <c r="O86" s="1018"/>
      <c r="P86" s="1018"/>
      <c r="Q86" s="1018"/>
      <c r="R86" s="1018"/>
      <c r="S86" s="1018"/>
      <c r="T86" s="1007"/>
      <c r="U86" s="1007"/>
    </row>
    <row r="87" spans="5:21" ht="12.75">
      <c r="E87" s="1018"/>
      <c r="F87" s="1018"/>
      <c r="G87" s="1018"/>
      <c r="H87" s="1018"/>
      <c r="I87" s="1018"/>
      <c r="J87" s="1018"/>
      <c r="K87" s="1018"/>
      <c r="L87" s="1018"/>
      <c r="M87" s="1018"/>
      <c r="N87" s="1018"/>
      <c r="O87" s="1018"/>
      <c r="P87" s="1018"/>
      <c r="Q87" s="1018"/>
      <c r="R87" s="1018"/>
      <c r="S87" s="1018"/>
      <c r="T87" s="1007"/>
      <c r="U87" s="1007"/>
    </row>
    <row r="88" spans="5:21" ht="12.75"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07"/>
      <c r="U88" s="1007"/>
    </row>
    <row r="89" spans="5:21" ht="12.75"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18"/>
      <c r="S89" s="1018"/>
      <c r="T89" s="1007"/>
      <c r="U89" s="1007"/>
    </row>
    <row r="90" spans="5:21" ht="12.75">
      <c r="E90" s="1018"/>
      <c r="F90" s="1018"/>
      <c r="G90" s="1018"/>
      <c r="H90" s="1018"/>
      <c r="I90" s="1018"/>
      <c r="J90" s="1018"/>
      <c r="K90" s="1018"/>
      <c r="L90" s="1018"/>
      <c r="M90" s="1018"/>
      <c r="N90" s="1018"/>
      <c r="O90" s="1018"/>
      <c r="P90" s="1018"/>
      <c r="Q90" s="1018"/>
      <c r="R90" s="1018"/>
      <c r="S90" s="1018"/>
      <c r="T90" s="1007"/>
      <c r="U90" s="1007"/>
    </row>
    <row r="91" spans="5:21" ht="12.75">
      <c r="E91" s="1018"/>
      <c r="F91" s="1018"/>
      <c r="G91" s="1018"/>
      <c r="H91" s="1018"/>
      <c r="I91" s="1018"/>
      <c r="J91" s="1018"/>
      <c r="K91" s="1018"/>
      <c r="L91" s="1018"/>
      <c r="M91" s="1018"/>
      <c r="N91" s="1018"/>
      <c r="O91" s="1018"/>
      <c r="P91" s="1018"/>
      <c r="Q91" s="1018"/>
      <c r="R91" s="1018"/>
      <c r="S91" s="1018"/>
      <c r="T91" s="1007"/>
      <c r="U91" s="1007"/>
    </row>
    <row r="92" spans="5:21" ht="12.75">
      <c r="E92" s="1018"/>
      <c r="F92" s="1018"/>
      <c r="G92" s="1018"/>
      <c r="H92" s="1018"/>
      <c r="I92" s="1018"/>
      <c r="J92" s="1018"/>
      <c r="K92" s="1018"/>
      <c r="L92" s="1018"/>
      <c r="M92" s="1018"/>
      <c r="N92" s="1018"/>
      <c r="O92" s="1018"/>
      <c r="P92" s="1018"/>
      <c r="Q92" s="1018"/>
      <c r="R92" s="1018"/>
      <c r="S92" s="1018"/>
      <c r="T92" s="1007"/>
      <c r="U92" s="1007"/>
    </row>
    <row r="93" spans="5:21" ht="12.75">
      <c r="E93" s="1018"/>
      <c r="F93" s="1018"/>
      <c r="G93" s="1018"/>
      <c r="H93" s="1018"/>
      <c r="I93" s="1018"/>
      <c r="J93" s="1018"/>
      <c r="K93" s="1018"/>
      <c r="L93" s="1018"/>
      <c r="M93" s="1018"/>
      <c r="N93" s="1018"/>
      <c r="O93" s="1018"/>
      <c r="P93" s="1018"/>
      <c r="Q93" s="1018"/>
      <c r="R93" s="1018"/>
      <c r="S93" s="1018"/>
      <c r="T93" s="1007"/>
      <c r="U93" s="1007"/>
    </row>
    <row r="94" spans="5:21" ht="12.75">
      <c r="E94" s="1018"/>
      <c r="F94" s="1018"/>
      <c r="G94" s="1018"/>
      <c r="H94" s="1018"/>
      <c r="I94" s="1018"/>
      <c r="J94" s="1018"/>
      <c r="K94" s="1018"/>
      <c r="L94" s="1018"/>
      <c r="M94" s="1018"/>
      <c r="N94" s="1018"/>
      <c r="O94" s="1018"/>
      <c r="P94" s="1018"/>
      <c r="Q94" s="1018"/>
      <c r="R94" s="1018"/>
      <c r="S94" s="1018"/>
      <c r="T94" s="1007"/>
      <c r="U94" s="1007"/>
    </row>
    <row r="95" spans="5:21" ht="12.75">
      <c r="E95" s="1007"/>
      <c r="F95" s="1007"/>
      <c r="G95" s="1007"/>
      <c r="H95" s="1007"/>
      <c r="I95" s="1007"/>
      <c r="J95" s="1007"/>
      <c r="K95" s="1007"/>
      <c r="L95" s="1007"/>
      <c r="M95" s="1007"/>
      <c r="N95" s="1007"/>
      <c r="O95" s="1007"/>
      <c r="P95" s="1007"/>
      <c r="Q95" s="1007"/>
      <c r="R95" s="1007"/>
      <c r="S95" s="1007"/>
      <c r="T95" s="1007"/>
      <c r="U95" s="1007"/>
    </row>
    <row r="96" spans="5:21" ht="12.75">
      <c r="E96" s="1007"/>
      <c r="F96" s="1007"/>
      <c r="G96" s="1007"/>
      <c r="H96" s="1007"/>
      <c r="I96" s="1007"/>
      <c r="J96" s="1007"/>
      <c r="K96" s="1007"/>
      <c r="L96" s="1007"/>
      <c r="M96" s="1007"/>
      <c r="N96" s="1007"/>
      <c r="O96" s="1007"/>
      <c r="P96" s="1007"/>
      <c r="Q96" s="1007"/>
      <c r="R96" s="1007"/>
      <c r="S96" s="1007"/>
      <c r="T96" s="1007"/>
      <c r="U96" s="1007"/>
    </row>
    <row r="97" spans="5:21" ht="12.75">
      <c r="E97" s="1007"/>
      <c r="F97" s="1007"/>
      <c r="G97" s="1007"/>
      <c r="H97" s="1007"/>
      <c r="I97" s="1007"/>
      <c r="J97" s="1007"/>
      <c r="K97" s="1007"/>
      <c r="L97" s="1007"/>
      <c r="M97" s="1007"/>
      <c r="N97" s="1007"/>
      <c r="O97" s="1007"/>
      <c r="P97" s="1007"/>
      <c r="Q97" s="1007"/>
      <c r="R97" s="1007"/>
      <c r="S97" s="1007"/>
      <c r="T97" s="1007"/>
      <c r="U97" s="1007"/>
    </row>
    <row r="98" spans="5:21" ht="12.75">
      <c r="E98" s="1007"/>
      <c r="F98" s="1007"/>
      <c r="G98" s="1007"/>
      <c r="H98" s="1007"/>
      <c r="I98" s="1007"/>
      <c r="J98" s="1007"/>
      <c r="K98" s="1007"/>
      <c r="L98" s="1007"/>
      <c r="M98" s="1007"/>
      <c r="N98" s="1007"/>
      <c r="O98" s="1007"/>
      <c r="P98" s="1007"/>
      <c r="Q98" s="1007"/>
      <c r="R98" s="1007"/>
      <c r="S98" s="1007"/>
      <c r="T98" s="1007"/>
      <c r="U98" s="1007"/>
    </row>
    <row r="99" spans="5:21" ht="12.75">
      <c r="E99" s="1007"/>
      <c r="F99" s="1007"/>
      <c r="G99" s="1007"/>
      <c r="H99" s="1007"/>
      <c r="I99" s="1007"/>
      <c r="J99" s="1007"/>
      <c r="K99" s="1007"/>
      <c r="L99" s="1007"/>
      <c r="M99" s="1007"/>
      <c r="N99" s="1007"/>
      <c r="O99" s="1007"/>
      <c r="P99" s="1007"/>
      <c r="Q99" s="1007"/>
      <c r="R99" s="1007"/>
      <c r="S99" s="1007"/>
      <c r="T99" s="1007"/>
      <c r="U99" s="1007"/>
    </row>
    <row r="100" spans="5:21" ht="12.75">
      <c r="E100" s="1007"/>
      <c r="F100" s="1007"/>
      <c r="G100" s="1007"/>
      <c r="H100" s="1007"/>
      <c r="I100" s="1007"/>
      <c r="J100" s="1007"/>
      <c r="K100" s="1007"/>
      <c r="L100" s="1007"/>
      <c r="M100" s="1007"/>
      <c r="N100" s="1007"/>
      <c r="O100" s="1007"/>
      <c r="P100" s="1007"/>
      <c r="Q100" s="1007"/>
      <c r="R100" s="1007"/>
      <c r="S100" s="1007"/>
      <c r="T100" s="1007"/>
      <c r="U100" s="1007"/>
    </row>
    <row r="101" spans="5:21" ht="12.75">
      <c r="E101" s="1007"/>
      <c r="F101" s="1007"/>
      <c r="G101" s="1007"/>
      <c r="H101" s="1007"/>
      <c r="I101" s="1007"/>
      <c r="J101" s="1007"/>
      <c r="K101" s="1007"/>
      <c r="L101" s="1007"/>
      <c r="M101" s="1007"/>
      <c r="N101" s="1007"/>
      <c r="O101" s="1007"/>
      <c r="P101" s="1007"/>
      <c r="Q101" s="1007"/>
      <c r="R101" s="1007"/>
      <c r="S101" s="1007"/>
      <c r="T101" s="1007"/>
      <c r="U101" s="1007"/>
    </row>
    <row r="102" spans="5:21" ht="12.75">
      <c r="E102" s="1007"/>
      <c r="F102" s="1007"/>
      <c r="G102" s="1007"/>
      <c r="H102" s="1007"/>
      <c r="I102" s="1007"/>
      <c r="J102" s="1007"/>
      <c r="K102" s="1007"/>
      <c r="L102" s="1007"/>
      <c r="M102" s="1007"/>
      <c r="N102" s="1007"/>
      <c r="O102" s="1007"/>
      <c r="P102" s="1007"/>
      <c r="Q102" s="1007"/>
      <c r="R102" s="1007"/>
      <c r="S102" s="1007"/>
      <c r="T102" s="1007"/>
      <c r="U102" s="1007"/>
    </row>
    <row r="103" spans="5:21" ht="12.75">
      <c r="E103" s="1007"/>
      <c r="F103" s="1007"/>
      <c r="G103" s="1007"/>
      <c r="H103" s="1007"/>
      <c r="I103" s="1007"/>
      <c r="J103" s="1007"/>
      <c r="K103" s="1007"/>
      <c r="L103" s="1007"/>
      <c r="M103" s="1007"/>
      <c r="N103" s="1007"/>
      <c r="O103" s="1007"/>
      <c r="P103" s="1007"/>
      <c r="Q103" s="1007"/>
      <c r="R103" s="1007"/>
      <c r="S103" s="1007"/>
      <c r="T103" s="1007"/>
      <c r="U103" s="1007"/>
    </row>
    <row r="104" spans="5:21" ht="12.75"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</row>
    <row r="105" spans="5:21" ht="12.75">
      <c r="E105" s="1007"/>
      <c r="F105" s="1007"/>
      <c r="G105" s="1007"/>
      <c r="H105" s="1007"/>
      <c r="I105" s="1007"/>
      <c r="J105" s="1007"/>
      <c r="K105" s="1007"/>
      <c r="L105" s="1007"/>
      <c r="M105" s="1007"/>
      <c r="N105" s="1007"/>
      <c r="O105" s="1007"/>
      <c r="P105" s="1007"/>
      <c r="Q105" s="1007"/>
      <c r="R105" s="1007"/>
      <c r="S105" s="1007"/>
      <c r="T105" s="1007"/>
      <c r="U105" s="1007"/>
    </row>
    <row r="106" spans="5:21" ht="12.75">
      <c r="E106" s="1007"/>
      <c r="F106" s="1007"/>
      <c r="G106" s="1007"/>
      <c r="H106" s="1007"/>
      <c r="I106" s="1007"/>
      <c r="J106" s="1007"/>
      <c r="K106" s="1007"/>
      <c r="L106" s="1007"/>
      <c r="M106" s="1007"/>
      <c r="N106" s="1007"/>
      <c r="O106" s="1007"/>
      <c r="P106" s="1007"/>
      <c r="Q106" s="1007"/>
      <c r="R106" s="1007"/>
      <c r="S106" s="1007"/>
      <c r="T106" s="1007"/>
      <c r="U106" s="1007"/>
    </row>
    <row r="107" spans="5:21" ht="12.75"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1007"/>
      <c r="O107" s="1007"/>
      <c r="P107" s="1007"/>
      <c r="Q107" s="1007"/>
      <c r="R107" s="1007"/>
      <c r="S107" s="1007"/>
      <c r="T107" s="1007"/>
      <c r="U107" s="1007"/>
    </row>
    <row r="108" spans="5:21" ht="12.75">
      <c r="E108" s="1007"/>
      <c r="F108" s="1007"/>
      <c r="G108" s="1007"/>
      <c r="H108" s="1007"/>
      <c r="I108" s="1007"/>
      <c r="J108" s="1007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1007"/>
      <c r="U108" s="1007"/>
    </row>
    <row r="109" spans="5:21" ht="12.75"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7"/>
      <c r="P109" s="1007"/>
      <c r="Q109" s="1007"/>
      <c r="R109" s="1007"/>
      <c r="S109" s="1007"/>
      <c r="T109" s="1007"/>
      <c r="U109" s="1007"/>
    </row>
    <row r="110" spans="5:21" ht="12.75"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  <c r="O110" s="1007"/>
      <c r="P110" s="1007"/>
      <c r="Q110" s="1007"/>
      <c r="R110" s="1007"/>
      <c r="S110" s="1007"/>
      <c r="T110" s="1007"/>
      <c r="U110" s="1007"/>
    </row>
    <row r="111" spans="5:21" ht="12.75">
      <c r="E111" s="1007"/>
      <c r="F111" s="1007"/>
      <c r="G111" s="1007"/>
      <c r="H111" s="1007"/>
      <c r="I111" s="1007"/>
      <c r="J111" s="1007"/>
      <c r="K111" s="1007"/>
      <c r="L111" s="1007"/>
      <c r="M111" s="1007"/>
      <c r="N111" s="1007"/>
      <c r="O111" s="1007"/>
      <c r="P111" s="1007"/>
      <c r="Q111" s="1007"/>
      <c r="R111" s="1007"/>
      <c r="S111" s="1007"/>
      <c r="T111" s="1007"/>
      <c r="U111" s="1007"/>
    </row>
    <row r="112" spans="5:21" ht="12.75">
      <c r="E112" s="1007"/>
      <c r="F112" s="1007"/>
      <c r="G112" s="1007"/>
      <c r="H112" s="1007"/>
      <c r="I112" s="1007"/>
      <c r="J112" s="1007"/>
      <c r="K112" s="1007"/>
      <c r="L112" s="1007"/>
      <c r="M112" s="1007"/>
      <c r="N112" s="1007"/>
      <c r="O112" s="1007"/>
      <c r="P112" s="1007"/>
      <c r="Q112" s="1007"/>
      <c r="R112" s="1007"/>
      <c r="S112" s="1007"/>
      <c r="T112" s="1007"/>
      <c r="U112" s="1007"/>
    </row>
    <row r="113" spans="5:21" ht="12.75"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7"/>
      <c r="O113" s="1007"/>
      <c r="P113" s="1007"/>
      <c r="Q113" s="1007"/>
      <c r="R113" s="1007"/>
      <c r="S113" s="1007"/>
      <c r="T113" s="1007"/>
      <c r="U113" s="1007"/>
    </row>
    <row r="114" spans="5:21" ht="12.75">
      <c r="E114" s="1007"/>
      <c r="F114" s="1007"/>
      <c r="G114" s="1007"/>
      <c r="H114" s="1007"/>
      <c r="I114" s="1007"/>
      <c r="J114" s="1007"/>
      <c r="K114" s="1007"/>
      <c r="L114" s="1007"/>
      <c r="M114" s="1007"/>
      <c r="N114" s="1007"/>
      <c r="O114" s="1007"/>
      <c r="P114" s="1007"/>
      <c r="Q114" s="1007"/>
      <c r="R114" s="1007"/>
      <c r="S114" s="1007"/>
      <c r="T114" s="1007"/>
      <c r="U114" s="1007"/>
    </row>
    <row r="115" spans="5:21" ht="12.75"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7"/>
      <c r="O115" s="1007"/>
      <c r="P115" s="1007"/>
      <c r="Q115" s="1007"/>
      <c r="R115" s="1007"/>
      <c r="S115" s="1007"/>
      <c r="T115" s="1007"/>
      <c r="U115" s="1007"/>
    </row>
    <row r="116" spans="5:21" ht="12.75">
      <c r="E116" s="1007"/>
      <c r="F116" s="1007"/>
      <c r="G116" s="1007"/>
      <c r="H116" s="1007"/>
      <c r="I116" s="1007"/>
      <c r="J116" s="1007"/>
      <c r="K116" s="1007"/>
      <c r="L116" s="1007"/>
      <c r="M116" s="1007"/>
      <c r="N116" s="1007"/>
      <c r="O116" s="1007"/>
      <c r="P116" s="1007"/>
      <c r="Q116" s="1007"/>
      <c r="R116" s="1007"/>
      <c r="S116" s="1007"/>
      <c r="T116" s="1007"/>
      <c r="U116" s="1007"/>
    </row>
    <row r="117" spans="5:21" ht="12.75"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</row>
    <row r="118" spans="5:21" ht="12.75"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</row>
    <row r="119" spans="5:21" ht="12.75">
      <c r="E119" s="1007"/>
      <c r="F119" s="1007"/>
      <c r="G119" s="1007"/>
      <c r="H119" s="1007"/>
      <c r="I119" s="1007"/>
      <c r="J119" s="1007"/>
      <c r="K119" s="1007"/>
      <c r="L119" s="1007"/>
      <c r="M119" s="1007"/>
      <c r="N119" s="1007"/>
      <c r="O119" s="1007"/>
      <c r="P119" s="1007"/>
      <c r="Q119" s="1007"/>
      <c r="R119" s="1007"/>
      <c r="S119" s="1007"/>
      <c r="T119" s="1007"/>
      <c r="U119" s="1007"/>
    </row>
    <row r="120" spans="5:21" ht="12.75">
      <c r="E120" s="1007"/>
      <c r="F120" s="1007"/>
      <c r="G120" s="1007"/>
      <c r="H120" s="1007"/>
      <c r="I120" s="1007"/>
      <c r="J120" s="1007"/>
      <c r="K120" s="1007"/>
      <c r="L120" s="1007"/>
      <c r="M120" s="1007"/>
      <c r="N120" s="1007"/>
      <c r="O120" s="1007"/>
      <c r="P120" s="1007"/>
      <c r="Q120" s="1007"/>
      <c r="R120" s="1007"/>
      <c r="S120" s="1007"/>
      <c r="T120" s="1007"/>
      <c r="U120" s="1007"/>
    </row>
    <row r="121" spans="5:21" ht="12.75">
      <c r="E121" s="1007"/>
      <c r="F121" s="1007"/>
      <c r="G121" s="1007"/>
      <c r="H121" s="1007"/>
      <c r="I121" s="1007"/>
      <c r="J121" s="1007"/>
      <c r="K121" s="1007"/>
      <c r="L121" s="1007"/>
      <c r="M121" s="1007"/>
      <c r="N121" s="1007"/>
      <c r="O121" s="1007"/>
      <c r="P121" s="1007"/>
      <c r="Q121" s="1007"/>
      <c r="R121" s="1007"/>
      <c r="S121" s="1007"/>
      <c r="T121" s="1007"/>
      <c r="U121" s="1007"/>
    </row>
    <row r="122" spans="5:21" ht="12.75">
      <c r="E122" s="1007"/>
      <c r="F122" s="1007"/>
      <c r="G122" s="1007"/>
      <c r="H122" s="1007"/>
      <c r="I122" s="1007"/>
      <c r="J122" s="1007"/>
      <c r="K122" s="1007"/>
      <c r="L122" s="1007"/>
      <c r="M122" s="1007"/>
      <c r="N122" s="1007"/>
      <c r="O122" s="1007"/>
      <c r="P122" s="1007"/>
      <c r="Q122" s="1007"/>
      <c r="R122" s="1007"/>
      <c r="S122" s="1007"/>
      <c r="T122" s="1007"/>
      <c r="U122" s="1007"/>
    </row>
    <row r="123" spans="5:21" ht="12.75">
      <c r="E123" s="1007"/>
      <c r="F123" s="1007"/>
      <c r="G123" s="1007"/>
      <c r="H123" s="1007"/>
      <c r="I123" s="1007"/>
      <c r="J123" s="1007"/>
      <c r="K123" s="1007"/>
      <c r="L123" s="1007"/>
      <c r="M123" s="1007"/>
      <c r="N123" s="1007"/>
      <c r="O123" s="1007"/>
      <c r="P123" s="1007"/>
      <c r="Q123" s="1007"/>
      <c r="R123" s="1007"/>
      <c r="S123" s="1007"/>
      <c r="T123" s="1007"/>
      <c r="U123" s="1007"/>
    </row>
    <row r="124" spans="5:21" ht="12.75">
      <c r="E124" s="1007"/>
      <c r="F124" s="1007"/>
      <c r="G124" s="1007"/>
      <c r="H124" s="1007"/>
      <c r="I124" s="1007"/>
      <c r="J124" s="1007"/>
      <c r="K124" s="1007"/>
      <c r="L124" s="1007"/>
      <c r="M124" s="1007"/>
      <c r="N124" s="1007"/>
      <c r="O124" s="1007"/>
      <c r="P124" s="1007"/>
      <c r="Q124" s="1007"/>
      <c r="R124" s="1007"/>
      <c r="S124" s="1007"/>
      <c r="T124" s="1007"/>
      <c r="U124" s="1007"/>
    </row>
    <row r="125" spans="5:21" ht="12.75">
      <c r="E125" s="1007"/>
      <c r="F125" s="1007"/>
      <c r="G125" s="1007"/>
      <c r="H125" s="1007"/>
      <c r="I125" s="1007"/>
      <c r="J125" s="1007"/>
      <c r="K125" s="1007"/>
      <c r="L125" s="1007"/>
      <c r="M125" s="1007"/>
      <c r="N125" s="1007"/>
      <c r="O125" s="1007"/>
      <c r="P125" s="1007"/>
      <c r="Q125" s="1007"/>
      <c r="R125" s="1007"/>
      <c r="S125" s="1007"/>
      <c r="T125" s="1007"/>
      <c r="U125" s="1007"/>
    </row>
    <row r="126" spans="5:21" ht="12.75">
      <c r="E126" s="1007"/>
      <c r="F126" s="1007"/>
      <c r="G126" s="1007"/>
      <c r="H126" s="1007"/>
      <c r="I126" s="1007"/>
      <c r="J126" s="1007"/>
      <c r="K126" s="1007"/>
      <c r="L126" s="1007"/>
      <c r="M126" s="1007"/>
      <c r="N126" s="1007"/>
      <c r="O126" s="1007"/>
      <c r="P126" s="1007"/>
      <c r="Q126" s="1007"/>
      <c r="R126" s="1007"/>
      <c r="S126" s="1007"/>
      <c r="T126" s="1007"/>
      <c r="U126" s="1007"/>
    </row>
    <row r="127" spans="5:21" ht="12.75">
      <c r="E127" s="1007"/>
      <c r="F127" s="1007"/>
      <c r="G127" s="1007"/>
      <c r="H127" s="1007"/>
      <c r="I127" s="1007"/>
      <c r="J127" s="1007"/>
      <c r="K127" s="1007"/>
      <c r="L127" s="1007"/>
      <c r="M127" s="1007"/>
      <c r="N127" s="1007"/>
      <c r="O127" s="1007"/>
      <c r="P127" s="1007"/>
      <c r="Q127" s="1007"/>
      <c r="R127" s="1007"/>
      <c r="S127" s="1007"/>
      <c r="T127" s="1007"/>
      <c r="U127" s="1007"/>
    </row>
    <row r="128" spans="5:21" ht="12.75">
      <c r="E128" s="1007"/>
      <c r="F128" s="1007"/>
      <c r="G128" s="1007"/>
      <c r="H128" s="1007"/>
      <c r="I128" s="1007"/>
      <c r="J128" s="1007"/>
      <c r="K128" s="1007"/>
      <c r="L128" s="1007"/>
      <c r="M128" s="1007"/>
      <c r="N128" s="1007"/>
      <c r="O128" s="1007"/>
      <c r="P128" s="1007"/>
      <c r="Q128" s="1007"/>
      <c r="R128" s="1007"/>
      <c r="S128" s="1007"/>
      <c r="T128" s="1007"/>
      <c r="U128" s="1007"/>
    </row>
    <row r="129" spans="5:21" ht="12.75">
      <c r="E129" s="1007"/>
      <c r="F129" s="1007"/>
      <c r="G129" s="1007"/>
      <c r="H129" s="1007"/>
      <c r="I129" s="1007"/>
      <c r="J129" s="1007"/>
      <c r="K129" s="1007"/>
      <c r="L129" s="1007"/>
      <c r="M129" s="1007"/>
      <c r="N129" s="1007"/>
      <c r="O129" s="1007"/>
      <c r="P129" s="1007"/>
      <c r="Q129" s="1007"/>
      <c r="R129" s="1007"/>
      <c r="S129" s="1007"/>
      <c r="T129" s="1007"/>
      <c r="U129" s="1007"/>
    </row>
    <row r="130" spans="5:21" ht="12.75">
      <c r="E130" s="1007"/>
      <c r="F130" s="1007"/>
      <c r="G130" s="1007"/>
      <c r="H130" s="1007"/>
      <c r="I130" s="1007"/>
      <c r="J130" s="1007"/>
      <c r="K130" s="1007"/>
      <c r="L130" s="1007"/>
      <c r="M130" s="1007"/>
      <c r="N130" s="1007"/>
      <c r="O130" s="1007"/>
      <c r="P130" s="1007"/>
      <c r="Q130" s="1007"/>
      <c r="R130" s="1007"/>
      <c r="S130" s="1007"/>
      <c r="T130" s="1007"/>
      <c r="U130" s="1007"/>
    </row>
    <row r="131" spans="5:21" ht="12.75">
      <c r="E131" s="1007"/>
      <c r="F131" s="1007"/>
      <c r="G131" s="1007"/>
      <c r="H131" s="1007"/>
      <c r="I131" s="1007"/>
      <c r="J131" s="1007"/>
      <c r="K131" s="1007"/>
      <c r="L131" s="1007"/>
      <c r="M131" s="1007"/>
      <c r="N131" s="1007"/>
      <c r="O131" s="1007"/>
      <c r="P131" s="1007"/>
      <c r="Q131" s="1007"/>
      <c r="R131" s="1007"/>
      <c r="S131" s="1007"/>
      <c r="T131" s="1007"/>
      <c r="U131" s="1007"/>
    </row>
    <row r="132" spans="5:21" ht="12.75">
      <c r="E132" s="1007"/>
      <c r="F132" s="1007"/>
      <c r="G132" s="1007"/>
      <c r="H132" s="1007"/>
      <c r="I132" s="1007"/>
      <c r="J132" s="1007"/>
      <c r="K132" s="1007"/>
      <c r="L132" s="1007"/>
      <c r="M132" s="1007"/>
      <c r="N132" s="1007"/>
      <c r="O132" s="1007"/>
      <c r="P132" s="1007"/>
      <c r="Q132" s="1007"/>
      <c r="R132" s="1007"/>
      <c r="S132" s="1007"/>
      <c r="T132" s="1007"/>
      <c r="U132" s="1007"/>
    </row>
    <row r="133" spans="5:21" ht="12.75">
      <c r="E133" s="1007"/>
      <c r="F133" s="1007"/>
      <c r="G133" s="1007"/>
      <c r="H133" s="1007"/>
      <c r="I133" s="1007"/>
      <c r="J133" s="1007"/>
      <c r="K133" s="1007"/>
      <c r="L133" s="1007"/>
      <c r="M133" s="1007"/>
      <c r="N133" s="1007"/>
      <c r="O133" s="1007"/>
      <c r="P133" s="1007"/>
      <c r="Q133" s="1007"/>
      <c r="R133" s="1007"/>
      <c r="S133" s="1007"/>
      <c r="T133" s="1007"/>
      <c r="U133" s="1007"/>
    </row>
    <row r="134" spans="5:21" ht="12.75">
      <c r="E134" s="1007"/>
      <c r="F134" s="1007"/>
      <c r="G134" s="1007"/>
      <c r="H134" s="1007"/>
      <c r="I134" s="1007"/>
      <c r="J134" s="1007"/>
      <c r="K134" s="1007"/>
      <c r="L134" s="1007"/>
      <c r="M134" s="1007"/>
      <c r="N134" s="1007"/>
      <c r="O134" s="1007"/>
      <c r="P134" s="1007"/>
      <c r="Q134" s="1007"/>
      <c r="R134" s="1007"/>
      <c r="S134" s="1007"/>
      <c r="T134" s="1007"/>
      <c r="U134" s="1007"/>
    </row>
    <row r="135" spans="5:21" ht="12.75">
      <c r="E135" s="1007"/>
      <c r="F135" s="1007"/>
      <c r="G135" s="1007"/>
      <c r="H135" s="1007"/>
      <c r="I135" s="1007"/>
      <c r="J135" s="1007"/>
      <c r="K135" s="1007"/>
      <c r="L135" s="1007"/>
      <c r="M135" s="1007"/>
      <c r="N135" s="1007"/>
      <c r="O135" s="1007"/>
      <c r="P135" s="1007"/>
      <c r="Q135" s="1007"/>
      <c r="R135" s="1007"/>
      <c r="S135" s="1007"/>
      <c r="T135" s="1007"/>
      <c r="U135" s="1007"/>
    </row>
  </sheetData>
  <sheetProtection/>
  <mergeCells count="5">
    <mergeCell ref="A4:V4"/>
    <mergeCell ref="F9:O9"/>
    <mergeCell ref="F10:K10"/>
    <mergeCell ref="L10:O10"/>
    <mergeCell ref="R11:S11"/>
  </mergeCells>
  <printOptions horizontalCentered="1" verticalCentered="1"/>
  <pageMargins left="0.07874015748031496" right="0.07874015748031496" top="0.33" bottom="0.31" header="0.21" footer="0.1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4"/>
  <sheetViews>
    <sheetView zoomScale="110" zoomScaleNormal="110" zoomScalePageLayoutView="0" workbookViewId="0" topLeftCell="A1">
      <pane xSplit="2" ySplit="16" topLeftCell="O17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T2" sqref="T2"/>
    </sheetView>
  </sheetViews>
  <sheetFormatPr defaultColWidth="9.00390625" defaultRowHeight="12.75"/>
  <cols>
    <col min="1" max="1" width="3.875" style="1006" customWidth="1"/>
    <col min="2" max="2" width="30.75390625" style="1006" customWidth="1"/>
    <col min="3" max="4" width="11.00390625" style="1006" customWidth="1"/>
    <col min="5" max="20" width="10.75390625" style="1006" customWidth="1"/>
    <col min="21" max="21" width="7.75390625" style="1006" customWidth="1"/>
    <col min="22" max="22" width="8.75390625" style="1006" customWidth="1"/>
    <col min="23" max="24" width="7.75390625" style="1006" customWidth="1"/>
    <col min="25" max="16384" width="9.125" style="1006" customWidth="1"/>
  </cols>
  <sheetData>
    <row r="1" spans="18:20" ht="12.75">
      <c r="R1" s="1007"/>
      <c r="S1" s="1612"/>
      <c r="T1" s="2011" t="s">
        <v>1260</v>
      </c>
    </row>
    <row r="2" spans="18:20" ht="12.75">
      <c r="R2" s="1007"/>
      <c r="S2" s="1612"/>
      <c r="T2" s="2011" t="s">
        <v>71</v>
      </c>
    </row>
    <row r="3" spans="7:20" ht="12.75">
      <c r="G3" s="1020"/>
      <c r="R3" s="1007"/>
      <c r="S3" s="1007"/>
      <c r="T3" s="558"/>
    </row>
    <row r="4" spans="1:24" ht="12.75">
      <c r="A4" s="2248" t="s">
        <v>1218</v>
      </c>
      <c r="B4" s="2248"/>
      <c r="C4" s="2248"/>
      <c r="D4" s="2248"/>
      <c r="E4" s="2248"/>
      <c r="F4" s="2248"/>
      <c r="G4" s="2248"/>
      <c r="H4" s="2248"/>
      <c r="I4" s="2248"/>
      <c r="J4" s="2248"/>
      <c r="K4" s="2248"/>
      <c r="L4" s="2248"/>
      <c r="M4" s="2248"/>
      <c r="N4" s="2248"/>
      <c r="O4" s="2248"/>
      <c r="P4" s="2248"/>
      <c r="Q4" s="2248"/>
      <c r="R4" s="2248"/>
      <c r="S4" s="2248"/>
      <c r="T4" s="2248"/>
      <c r="U4" s="2248"/>
      <c r="V4" s="2248"/>
      <c r="W4" s="2248"/>
      <c r="X4" s="2248"/>
    </row>
    <row r="5" spans="1:23" ht="12.75" hidden="1">
      <c r="A5" s="1008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10"/>
    </row>
    <row r="6" spans="1:23" ht="12.75">
      <c r="A6" s="1008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11"/>
      <c r="U6" s="1009"/>
      <c r="V6" s="1009"/>
      <c r="W6" s="1010"/>
    </row>
    <row r="7" spans="1:23" ht="12.75">
      <c r="A7" s="1008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11"/>
      <c r="U7" s="1009"/>
      <c r="V7" s="1009"/>
      <c r="W7" s="1010"/>
    </row>
    <row r="8" spans="1:23" ht="13.5" thickBot="1">
      <c r="A8" s="1008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613" t="s">
        <v>1011</v>
      </c>
      <c r="U8" s="1692"/>
      <c r="V8" s="1692"/>
      <c r="W8" s="1693"/>
    </row>
    <row r="9" spans="1:23" ht="13.5" thickBot="1">
      <c r="A9" s="1614"/>
      <c r="B9" s="1617"/>
      <c r="C9" s="1694"/>
      <c r="D9" s="1695"/>
      <c r="E9" s="1617"/>
      <c r="F9" s="2250" t="s">
        <v>779</v>
      </c>
      <c r="G9" s="2250"/>
      <c r="H9" s="2250"/>
      <c r="I9" s="2250"/>
      <c r="J9" s="2250"/>
      <c r="K9" s="2250"/>
      <c r="L9" s="2250"/>
      <c r="M9" s="2250"/>
      <c r="N9" s="2250"/>
      <c r="O9" s="2250"/>
      <c r="P9" s="2250"/>
      <c r="Q9" s="2250"/>
      <c r="R9" s="2251"/>
      <c r="S9" s="2249" t="s">
        <v>789</v>
      </c>
      <c r="T9" s="2251"/>
      <c r="U9" s="1015"/>
      <c r="V9" s="1015"/>
      <c r="W9" s="1015"/>
    </row>
    <row r="10" spans="1:23" ht="13.5" thickBot="1">
      <c r="A10" s="1622"/>
      <c r="B10" s="1623"/>
      <c r="C10" s="1624"/>
      <c r="D10" s="1635"/>
      <c r="E10" s="1625"/>
      <c r="F10" s="2257" t="s">
        <v>987</v>
      </c>
      <c r="G10" s="2257"/>
      <c r="H10" s="2257"/>
      <c r="I10" s="2257"/>
      <c r="J10" s="2257"/>
      <c r="K10" s="2257"/>
      <c r="L10" s="1696"/>
      <c r="M10" s="1697"/>
      <c r="N10" s="2258" t="s">
        <v>79</v>
      </c>
      <c r="O10" s="2257"/>
      <c r="P10" s="2257"/>
      <c r="Q10" s="2257"/>
      <c r="R10" s="2257"/>
      <c r="S10" s="1626"/>
      <c r="T10" s="1617"/>
      <c r="U10" s="1015"/>
      <c r="V10" s="1015"/>
      <c r="W10" s="1015"/>
    </row>
    <row r="11" spans="1:23" ht="12.75" customHeight="1" thickBot="1">
      <c r="A11" s="1698"/>
      <c r="B11" s="1629"/>
      <c r="C11" s="1630" t="s">
        <v>222</v>
      </c>
      <c r="D11" s="1699" t="s">
        <v>223</v>
      </c>
      <c r="E11" s="1632" t="s">
        <v>344</v>
      </c>
      <c r="F11" s="2259" t="s">
        <v>214</v>
      </c>
      <c r="G11" s="2259"/>
      <c r="H11" s="2259"/>
      <c r="I11" s="2260" t="s">
        <v>346</v>
      </c>
      <c r="J11" s="2261"/>
      <c r="K11" s="1700"/>
      <c r="L11" s="1631" t="s">
        <v>499</v>
      </c>
      <c r="M11" s="1701" t="s">
        <v>499</v>
      </c>
      <c r="N11" s="1622"/>
      <c r="O11" s="2262" t="s">
        <v>347</v>
      </c>
      <c r="P11" s="2263"/>
      <c r="Q11" s="1631" t="s">
        <v>499</v>
      </c>
      <c r="R11" s="1701" t="s">
        <v>499</v>
      </c>
      <c r="S11" s="1636" t="s">
        <v>346</v>
      </c>
      <c r="T11" s="1637" t="s">
        <v>347</v>
      </c>
      <c r="U11" s="1015"/>
      <c r="V11" s="1015"/>
      <c r="W11" s="1015"/>
    </row>
    <row r="12" spans="1:23" ht="12.75">
      <c r="A12" s="1698"/>
      <c r="B12" s="1634" t="s">
        <v>349</v>
      </c>
      <c r="C12" s="1638" t="s">
        <v>4</v>
      </c>
      <c r="D12" s="1633" t="s">
        <v>4</v>
      </c>
      <c r="E12" s="1632" t="s">
        <v>188</v>
      </c>
      <c r="F12" s="1013" t="s">
        <v>966</v>
      </c>
      <c r="G12" s="1702" t="s">
        <v>346</v>
      </c>
      <c r="H12" s="1633" t="s">
        <v>346</v>
      </c>
      <c r="I12" s="2262" t="s">
        <v>151</v>
      </c>
      <c r="J12" s="2263"/>
      <c r="K12" s="1701" t="s">
        <v>346</v>
      </c>
      <c r="L12" s="1701" t="s">
        <v>570</v>
      </c>
      <c r="M12" s="1701" t="s">
        <v>501</v>
      </c>
      <c r="N12" s="1636" t="s">
        <v>369</v>
      </c>
      <c r="O12" s="2262" t="s">
        <v>151</v>
      </c>
      <c r="P12" s="2263"/>
      <c r="Q12" s="1701" t="s">
        <v>571</v>
      </c>
      <c r="R12" s="1701" t="s">
        <v>501</v>
      </c>
      <c r="S12" s="1636" t="s">
        <v>354</v>
      </c>
      <c r="T12" s="1637" t="s">
        <v>354</v>
      </c>
      <c r="U12" s="1015"/>
      <c r="V12" s="1015"/>
      <c r="W12" s="1015"/>
    </row>
    <row r="13" spans="1:23" ht="12.75">
      <c r="A13" s="1703"/>
      <c r="B13" s="1634" t="s">
        <v>356</v>
      </c>
      <c r="C13" s="1638"/>
      <c r="D13" s="1633"/>
      <c r="E13" s="1632" t="s">
        <v>556</v>
      </c>
      <c r="F13" s="1013" t="s">
        <v>370</v>
      </c>
      <c r="G13" s="1639" t="s">
        <v>354</v>
      </c>
      <c r="H13" s="1633" t="s">
        <v>354</v>
      </c>
      <c r="I13" s="2262" t="s">
        <v>572</v>
      </c>
      <c r="J13" s="2263"/>
      <c r="K13" s="1701" t="s">
        <v>354</v>
      </c>
      <c r="L13" s="1701" t="s">
        <v>573</v>
      </c>
      <c r="M13" s="1701" t="s">
        <v>314</v>
      </c>
      <c r="N13" s="1636" t="s">
        <v>188</v>
      </c>
      <c r="O13" s="2262" t="s">
        <v>572</v>
      </c>
      <c r="P13" s="2263"/>
      <c r="Q13" s="1701" t="s">
        <v>573</v>
      </c>
      <c r="R13" s="1701" t="s">
        <v>314</v>
      </c>
      <c r="S13" s="1636"/>
      <c r="T13" s="1637"/>
      <c r="U13" s="1015"/>
      <c r="V13" s="1015"/>
      <c r="W13" s="1015"/>
    </row>
    <row r="14" spans="1:23" ht="12.75">
      <c r="A14" s="1645" t="s">
        <v>530</v>
      </c>
      <c r="B14" s="1634" t="s">
        <v>128</v>
      </c>
      <c r="C14" s="1638"/>
      <c r="D14" s="1633"/>
      <c r="E14" s="1632" t="s">
        <v>879</v>
      </c>
      <c r="F14" s="1013" t="s">
        <v>574</v>
      </c>
      <c r="G14" s="1639" t="s">
        <v>575</v>
      </c>
      <c r="H14" s="1639" t="s">
        <v>576</v>
      </c>
      <c r="I14" s="2264" t="s">
        <v>577</v>
      </c>
      <c r="J14" s="2265"/>
      <c r="K14" s="1701" t="s">
        <v>359</v>
      </c>
      <c r="L14" s="1701" t="s">
        <v>578</v>
      </c>
      <c r="M14" s="1701" t="s">
        <v>383</v>
      </c>
      <c r="N14" s="1622"/>
      <c r="O14" s="2264" t="s">
        <v>577</v>
      </c>
      <c r="P14" s="2265"/>
      <c r="Q14" s="1701" t="s">
        <v>578</v>
      </c>
      <c r="R14" s="1701" t="s">
        <v>383</v>
      </c>
      <c r="S14" s="1636"/>
      <c r="T14" s="1637"/>
      <c r="U14" s="1015"/>
      <c r="V14" s="1015"/>
      <c r="W14" s="1015"/>
    </row>
    <row r="15" spans="1:23" ht="12.75">
      <c r="A15" s="1645"/>
      <c r="B15" s="1634"/>
      <c r="C15" s="1638"/>
      <c r="D15" s="1633"/>
      <c r="E15" s="1655"/>
      <c r="F15" s="1013" t="s">
        <v>371</v>
      </c>
      <c r="G15" s="1639" t="s">
        <v>384</v>
      </c>
      <c r="H15" s="1639" t="s">
        <v>385</v>
      </c>
      <c r="I15" s="1639" t="s">
        <v>579</v>
      </c>
      <c r="J15" s="1701" t="s">
        <v>966</v>
      </c>
      <c r="K15" s="1701" t="s">
        <v>386</v>
      </c>
      <c r="L15" s="1701" t="s">
        <v>314</v>
      </c>
      <c r="M15" s="1701" t="s">
        <v>387</v>
      </c>
      <c r="N15" s="1622"/>
      <c r="O15" s="1639" t="s">
        <v>579</v>
      </c>
      <c r="P15" s="1701" t="s">
        <v>966</v>
      </c>
      <c r="Q15" s="1701" t="s">
        <v>314</v>
      </c>
      <c r="R15" s="1701" t="s">
        <v>388</v>
      </c>
      <c r="S15" s="1636"/>
      <c r="T15" s="1637"/>
      <c r="U15" s="1015"/>
      <c r="V15" s="1015"/>
      <c r="W15" s="1015"/>
    </row>
    <row r="16" spans="1:23" ht="12.75">
      <c r="A16" s="1642"/>
      <c r="B16" s="1652"/>
      <c r="C16" s="1653"/>
      <c r="D16" s="1705"/>
      <c r="E16" s="1655"/>
      <c r="F16" s="1706"/>
      <c r="G16" s="1707"/>
      <c r="H16" s="1639" t="s">
        <v>188</v>
      </c>
      <c r="I16" s="1639"/>
      <c r="J16" s="1701"/>
      <c r="K16" s="1704"/>
      <c r="L16" s="1701" t="s">
        <v>386</v>
      </c>
      <c r="M16" s="1637"/>
      <c r="N16" s="1708"/>
      <c r="O16" s="1639"/>
      <c r="P16" s="1701"/>
      <c r="Q16" s="1701" t="s">
        <v>386</v>
      </c>
      <c r="R16" s="1623"/>
      <c r="S16" s="1622"/>
      <c r="T16" s="1658"/>
      <c r="U16" s="1015"/>
      <c r="V16" s="1015"/>
      <c r="W16" s="1015"/>
    </row>
    <row r="17" spans="1:23" ht="12.75">
      <c r="A17" s="1659">
        <v>1</v>
      </c>
      <c r="B17" s="1660">
        <v>2</v>
      </c>
      <c r="C17" s="1659">
        <v>3</v>
      </c>
      <c r="D17" s="1664">
        <v>4</v>
      </c>
      <c r="E17" s="1662">
        <v>5</v>
      </c>
      <c r="F17" s="1663">
        <v>6</v>
      </c>
      <c r="G17" s="1663">
        <v>7</v>
      </c>
      <c r="H17" s="1664">
        <v>8</v>
      </c>
      <c r="I17" s="1664">
        <v>9</v>
      </c>
      <c r="J17" s="1661">
        <v>10</v>
      </c>
      <c r="K17" s="1661">
        <v>11</v>
      </c>
      <c r="L17" s="1661">
        <v>12</v>
      </c>
      <c r="M17" s="1662">
        <v>13</v>
      </c>
      <c r="N17" s="1659">
        <v>14</v>
      </c>
      <c r="O17" s="1664">
        <v>15</v>
      </c>
      <c r="P17" s="1664">
        <v>16</v>
      </c>
      <c r="Q17" s="1661">
        <v>17</v>
      </c>
      <c r="R17" s="1662">
        <v>18</v>
      </c>
      <c r="S17" s="1666">
        <v>19</v>
      </c>
      <c r="T17" s="1662">
        <v>20</v>
      </c>
      <c r="U17" s="1015"/>
      <c r="V17" s="1015"/>
      <c r="W17" s="1015"/>
    </row>
    <row r="18" spans="1:23" ht="12.75">
      <c r="A18" s="1638"/>
      <c r="B18" s="1634"/>
      <c r="C18" s="1638"/>
      <c r="D18" s="1633"/>
      <c r="E18" s="1669"/>
      <c r="F18" s="1016"/>
      <c r="G18" s="1016"/>
      <c r="H18" s="1016"/>
      <c r="I18" s="1016"/>
      <c r="J18" s="1016"/>
      <c r="K18" s="1016"/>
      <c r="L18" s="1016"/>
      <c r="M18" s="1016"/>
      <c r="N18" s="1673"/>
      <c r="O18" s="1016"/>
      <c r="P18" s="1016"/>
      <c r="Q18" s="1016"/>
      <c r="R18" s="1016"/>
      <c r="S18" s="1673"/>
      <c r="T18" s="1674"/>
      <c r="U18" s="1015"/>
      <c r="V18" s="1015"/>
      <c r="W18" s="1015"/>
    </row>
    <row r="19" spans="1:25" ht="15" customHeight="1">
      <c r="A19" s="1638" t="s">
        <v>482</v>
      </c>
      <c r="B19" s="1671" t="s">
        <v>368</v>
      </c>
      <c r="C19" s="1683">
        <v>446390</v>
      </c>
      <c r="D19" s="1016">
        <v>522077</v>
      </c>
      <c r="E19" s="1672">
        <f>SUM(F19:T19)</f>
        <v>489830</v>
      </c>
      <c r="F19" s="1016">
        <f>14043+21258+24287</f>
        <v>59588</v>
      </c>
      <c r="G19" s="1016">
        <v>8094</v>
      </c>
      <c r="H19" s="1016">
        <v>254</v>
      </c>
      <c r="I19" s="1016">
        <v>395538</v>
      </c>
      <c r="J19" s="1016"/>
      <c r="K19" s="1016"/>
      <c r="L19" s="1016">
        <v>3615</v>
      </c>
      <c r="M19" s="1016">
        <f>831-1</f>
        <v>830</v>
      </c>
      <c r="N19" s="1673"/>
      <c r="O19" s="1016">
        <v>18115</v>
      </c>
      <c r="P19" s="1016"/>
      <c r="Q19" s="1016">
        <v>3796</v>
      </c>
      <c r="R19" s="1016"/>
      <c r="S19" s="1673"/>
      <c r="T19" s="1674"/>
      <c r="U19" s="1014"/>
      <c r="V19" s="1016"/>
      <c r="W19" s="1709"/>
      <c r="Y19" s="1020"/>
    </row>
    <row r="20" spans="1:25" ht="12.75">
      <c r="A20" s="1624"/>
      <c r="B20" s="1675"/>
      <c r="C20" s="2002"/>
      <c r="D20" s="2006"/>
      <c r="E20" s="1672"/>
      <c r="F20" s="1016"/>
      <c r="G20" s="1016"/>
      <c r="H20" s="1016"/>
      <c r="I20" s="1016"/>
      <c r="J20" s="1016"/>
      <c r="K20" s="1016"/>
      <c r="L20" s="1016"/>
      <c r="M20" s="1016"/>
      <c r="N20" s="1673"/>
      <c r="O20" s="1016"/>
      <c r="P20" s="1016"/>
      <c r="Q20" s="1016"/>
      <c r="R20" s="1016"/>
      <c r="S20" s="1673"/>
      <c r="T20" s="1674"/>
      <c r="U20" s="1014"/>
      <c r="V20" s="1016"/>
      <c r="W20" s="1709"/>
      <c r="Y20" s="1020"/>
    </row>
    <row r="21" spans="1:25" ht="19.5" customHeight="1">
      <c r="A21" s="2025"/>
      <c r="B21" s="2039" t="s">
        <v>195</v>
      </c>
      <c r="C21" s="2040">
        <f>SUM(C19:C20)</f>
        <v>446390</v>
      </c>
      <c r="D21" s="2030">
        <f>SUM(D19:D20)</f>
        <v>522077</v>
      </c>
      <c r="E21" s="2021">
        <f aca="true" t="shared" si="0" ref="E21:T21">SUM(E19:E20)</f>
        <v>489830</v>
      </c>
      <c r="F21" s="2035">
        <f t="shared" si="0"/>
        <v>59588</v>
      </c>
      <c r="G21" s="2036">
        <f t="shared" si="0"/>
        <v>8094</v>
      </c>
      <c r="H21" s="2036">
        <f t="shared" si="0"/>
        <v>254</v>
      </c>
      <c r="I21" s="2036">
        <f t="shared" si="0"/>
        <v>395538</v>
      </c>
      <c r="J21" s="2036">
        <f t="shared" si="0"/>
        <v>0</v>
      </c>
      <c r="K21" s="2020">
        <f t="shared" si="0"/>
        <v>0</v>
      </c>
      <c r="L21" s="2020">
        <f t="shared" si="0"/>
        <v>3615</v>
      </c>
      <c r="M21" s="2021">
        <f t="shared" si="0"/>
        <v>830</v>
      </c>
      <c r="N21" s="2022">
        <f t="shared" si="0"/>
        <v>0</v>
      </c>
      <c r="O21" s="2036">
        <f t="shared" si="0"/>
        <v>18115</v>
      </c>
      <c r="P21" s="2035">
        <f t="shared" si="0"/>
        <v>0</v>
      </c>
      <c r="Q21" s="2035">
        <f t="shared" si="0"/>
        <v>3796</v>
      </c>
      <c r="R21" s="2036">
        <f t="shared" si="0"/>
        <v>0</v>
      </c>
      <c r="S21" s="2022">
        <f t="shared" si="0"/>
        <v>0</v>
      </c>
      <c r="T21" s="2021">
        <f t="shared" si="0"/>
        <v>0</v>
      </c>
      <c r="U21" s="1014"/>
      <c r="V21" s="1016"/>
      <c r="W21" s="1709"/>
      <c r="Y21" s="1020"/>
    </row>
    <row r="22" spans="1:25" ht="12.75">
      <c r="A22" s="1624"/>
      <c r="B22" s="1710"/>
      <c r="C22" s="2004"/>
      <c r="D22" s="2007"/>
      <c r="E22" s="1677"/>
      <c r="F22" s="1016"/>
      <c r="G22" s="1016"/>
      <c r="H22" s="1016"/>
      <c r="I22" s="1016"/>
      <c r="J22" s="1016"/>
      <c r="K22" s="1016"/>
      <c r="L22" s="1016"/>
      <c r="M22" s="1016"/>
      <c r="N22" s="1673"/>
      <c r="O22" s="1016"/>
      <c r="P22" s="1016"/>
      <c r="Q22" s="1016"/>
      <c r="R22" s="1016"/>
      <c r="S22" s="1673"/>
      <c r="T22" s="1674"/>
      <c r="U22" s="1014"/>
      <c r="V22" s="1016"/>
      <c r="W22" s="1709"/>
      <c r="Y22" s="1020"/>
    </row>
    <row r="23" spans="1:25" ht="15" customHeight="1">
      <c r="A23" s="1638" t="s">
        <v>482</v>
      </c>
      <c r="B23" s="1671" t="s">
        <v>558</v>
      </c>
      <c r="C23" s="1683">
        <v>85753</v>
      </c>
      <c r="D23" s="1019">
        <v>100433</v>
      </c>
      <c r="E23" s="1672">
        <f aca="true" t="shared" si="1" ref="E23:E33">SUM(F23:T23)</f>
        <v>100231</v>
      </c>
      <c r="F23" s="1016"/>
      <c r="G23" s="1016"/>
      <c r="H23" s="1209">
        <v>59</v>
      </c>
      <c r="I23" s="1209">
        <v>96003</v>
      </c>
      <c r="J23" s="1016"/>
      <c r="K23" s="1016"/>
      <c r="L23" s="1016">
        <v>469</v>
      </c>
      <c r="M23" s="1016"/>
      <c r="N23" s="1673"/>
      <c r="O23" s="1016">
        <v>3700</v>
      </c>
      <c r="P23" s="1016"/>
      <c r="Q23" s="1016"/>
      <c r="R23" s="1016"/>
      <c r="S23" s="1673"/>
      <c r="T23" s="1674"/>
      <c r="U23" s="1014"/>
      <c r="V23" s="1016"/>
      <c r="W23" s="1709"/>
      <c r="Y23" s="1020"/>
    </row>
    <row r="24" spans="1:25" ht="15" customHeight="1">
      <c r="A24" s="1638" t="s">
        <v>155</v>
      </c>
      <c r="B24" s="1671" t="s">
        <v>559</v>
      </c>
      <c r="C24" s="1683">
        <v>69380</v>
      </c>
      <c r="D24" s="1019">
        <v>216726</v>
      </c>
      <c r="E24" s="1672">
        <f t="shared" si="1"/>
        <v>167261</v>
      </c>
      <c r="F24" s="1016">
        <f>61+34</f>
        <v>95</v>
      </c>
      <c r="G24" s="1016"/>
      <c r="H24" s="1209">
        <v>77</v>
      </c>
      <c r="I24" s="1209">
        <v>156163</v>
      </c>
      <c r="J24" s="1016"/>
      <c r="K24" s="1016"/>
      <c r="L24" s="1016">
        <v>40</v>
      </c>
      <c r="M24" s="1016"/>
      <c r="N24" s="1673"/>
      <c r="O24" s="1016">
        <v>10734</v>
      </c>
      <c r="P24" s="1016"/>
      <c r="Q24" s="1016">
        <v>152</v>
      </c>
      <c r="R24" s="1016"/>
      <c r="S24" s="1673"/>
      <c r="T24" s="1674"/>
      <c r="U24" s="1014"/>
      <c r="V24" s="1016"/>
      <c r="W24" s="1709"/>
      <c r="Y24" s="1020"/>
    </row>
    <row r="25" spans="1:25" ht="15" customHeight="1">
      <c r="A25" s="1638" t="s">
        <v>156</v>
      </c>
      <c r="B25" s="1671" t="s">
        <v>560</v>
      </c>
      <c r="C25" s="1683">
        <v>82058</v>
      </c>
      <c r="D25" s="1019">
        <v>98007</v>
      </c>
      <c r="E25" s="1672">
        <f t="shared" si="1"/>
        <v>96309</v>
      </c>
      <c r="F25" s="1016"/>
      <c r="G25" s="1016"/>
      <c r="H25" s="1016">
        <v>63</v>
      </c>
      <c r="I25" s="1016">
        <f>90779+1</f>
        <v>90780</v>
      </c>
      <c r="J25" s="1016">
        <v>45</v>
      </c>
      <c r="K25" s="1016"/>
      <c r="L25" s="1016"/>
      <c r="M25" s="1016">
        <f>196-1</f>
        <v>195</v>
      </c>
      <c r="N25" s="1673"/>
      <c r="O25" s="1016">
        <v>2465</v>
      </c>
      <c r="P25" s="1016"/>
      <c r="Q25" s="1016">
        <v>2761</v>
      </c>
      <c r="R25" s="1016"/>
      <c r="S25" s="1673"/>
      <c r="T25" s="1674"/>
      <c r="U25" s="1014"/>
      <c r="V25" s="1016"/>
      <c r="W25" s="1709"/>
      <c r="Y25" s="1020"/>
    </row>
    <row r="26" spans="1:25" ht="15" customHeight="1">
      <c r="A26" s="1638" t="s">
        <v>157</v>
      </c>
      <c r="B26" s="1671" t="s">
        <v>561</v>
      </c>
      <c r="C26" s="1683">
        <v>74472</v>
      </c>
      <c r="D26" s="1019">
        <v>85003</v>
      </c>
      <c r="E26" s="1672">
        <f t="shared" si="1"/>
        <v>84440</v>
      </c>
      <c r="F26" s="1016">
        <v>315</v>
      </c>
      <c r="G26" s="1016"/>
      <c r="H26" s="1016">
        <v>59</v>
      </c>
      <c r="I26" s="1016">
        <v>82998</v>
      </c>
      <c r="J26" s="1016">
        <v>40</v>
      </c>
      <c r="K26" s="1016"/>
      <c r="L26" s="1016">
        <v>1028</v>
      </c>
      <c r="M26" s="1016"/>
      <c r="N26" s="1673"/>
      <c r="O26" s="1016"/>
      <c r="P26" s="1016"/>
      <c r="Q26" s="1016"/>
      <c r="R26" s="1016"/>
      <c r="S26" s="1673"/>
      <c r="T26" s="1674"/>
      <c r="U26" s="1014"/>
      <c r="V26" s="1016"/>
      <c r="W26" s="1709"/>
      <c r="Y26" s="1020"/>
    </row>
    <row r="27" spans="1:25" ht="15" customHeight="1">
      <c r="A27" s="1638" t="s">
        <v>158</v>
      </c>
      <c r="B27" s="1671" t="s">
        <v>562</v>
      </c>
      <c r="C27" s="1683">
        <v>147170</v>
      </c>
      <c r="D27" s="1019">
        <v>167352</v>
      </c>
      <c r="E27" s="1672">
        <f t="shared" si="1"/>
        <v>166747</v>
      </c>
      <c r="F27" s="1016">
        <f>22+749</f>
        <v>771</v>
      </c>
      <c r="G27" s="1016"/>
      <c r="H27" s="1016">
        <v>61</v>
      </c>
      <c r="I27" s="1016">
        <v>163373</v>
      </c>
      <c r="J27" s="1016">
        <v>60</v>
      </c>
      <c r="K27" s="1016"/>
      <c r="L27" s="1016">
        <v>416</v>
      </c>
      <c r="M27" s="1016"/>
      <c r="N27" s="1673"/>
      <c r="O27" s="1016"/>
      <c r="P27" s="1016"/>
      <c r="Q27" s="1016">
        <v>2066</v>
      </c>
      <c r="R27" s="1016"/>
      <c r="S27" s="1673"/>
      <c r="T27" s="1674"/>
      <c r="U27" s="1014"/>
      <c r="V27" s="1016"/>
      <c r="W27" s="1709"/>
      <c r="Y27" s="1020"/>
    </row>
    <row r="28" spans="1:25" ht="15" customHeight="1">
      <c r="A28" s="1638" t="s">
        <v>159</v>
      </c>
      <c r="B28" s="1671" t="s">
        <v>563</v>
      </c>
      <c r="C28" s="1683">
        <v>70314</v>
      </c>
      <c r="D28" s="1019">
        <v>82380</v>
      </c>
      <c r="E28" s="1672">
        <f t="shared" si="1"/>
        <v>82026</v>
      </c>
      <c r="F28" s="1016"/>
      <c r="G28" s="1016"/>
      <c r="H28" s="1016">
        <v>63</v>
      </c>
      <c r="I28" s="1016">
        <v>81475</v>
      </c>
      <c r="J28" s="1016">
        <v>55</v>
      </c>
      <c r="K28" s="1016"/>
      <c r="L28" s="1016">
        <v>200</v>
      </c>
      <c r="M28" s="1016"/>
      <c r="N28" s="1673"/>
      <c r="O28" s="1016">
        <v>233</v>
      </c>
      <c r="P28" s="1016"/>
      <c r="Q28" s="1016"/>
      <c r="R28" s="1016"/>
      <c r="S28" s="1673"/>
      <c r="T28" s="1674"/>
      <c r="U28" s="1014"/>
      <c r="V28" s="1016"/>
      <c r="W28" s="1709"/>
      <c r="Y28" s="1020"/>
    </row>
    <row r="29" spans="1:25" ht="15" customHeight="1">
      <c r="A29" s="1638" t="s">
        <v>160</v>
      </c>
      <c r="B29" s="1671" t="s">
        <v>564</v>
      </c>
      <c r="C29" s="1683">
        <v>74348</v>
      </c>
      <c r="D29" s="1019">
        <v>88943</v>
      </c>
      <c r="E29" s="1672">
        <f t="shared" si="1"/>
        <v>83451</v>
      </c>
      <c r="F29" s="1016">
        <v>233</v>
      </c>
      <c r="G29" s="1016"/>
      <c r="H29" s="1016">
        <v>76</v>
      </c>
      <c r="I29" s="1016">
        <v>78861</v>
      </c>
      <c r="J29" s="1016">
        <v>25</v>
      </c>
      <c r="K29" s="1016"/>
      <c r="L29" s="1016"/>
      <c r="M29" s="1016">
        <f>278-1</f>
        <v>277</v>
      </c>
      <c r="N29" s="1673"/>
      <c r="O29" s="1016"/>
      <c r="P29" s="1016"/>
      <c r="Q29" s="1016">
        <v>3979</v>
      </c>
      <c r="R29" s="1016"/>
      <c r="S29" s="1673"/>
      <c r="T29" s="1674"/>
      <c r="U29" s="1014"/>
      <c r="V29" s="1016"/>
      <c r="W29" s="1709"/>
      <c r="Y29" s="1020"/>
    </row>
    <row r="30" spans="1:25" ht="15" customHeight="1">
      <c r="A30" s="1638" t="s">
        <v>161</v>
      </c>
      <c r="B30" s="1671" t="s">
        <v>565</v>
      </c>
      <c r="C30" s="1683">
        <v>161702</v>
      </c>
      <c r="D30" s="1019">
        <v>207384</v>
      </c>
      <c r="E30" s="1672">
        <f t="shared" si="1"/>
        <v>201696</v>
      </c>
      <c r="F30" s="1016">
        <v>56</v>
      </c>
      <c r="G30" s="1016"/>
      <c r="H30" s="1016">
        <v>61</v>
      </c>
      <c r="I30" s="1016">
        <v>190904</v>
      </c>
      <c r="J30" s="1016">
        <v>35</v>
      </c>
      <c r="K30" s="1016"/>
      <c r="L30" s="1016">
        <v>9705</v>
      </c>
      <c r="M30" s="1016"/>
      <c r="N30" s="1673"/>
      <c r="O30" s="1016">
        <v>935</v>
      </c>
      <c r="P30" s="1016"/>
      <c r="Q30" s="1016"/>
      <c r="R30" s="1016"/>
      <c r="S30" s="1673"/>
      <c r="T30" s="1674"/>
      <c r="U30" s="1014"/>
      <c r="V30" s="1016"/>
      <c r="W30" s="1709"/>
      <c r="Y30" s="1020"/>
    </row>
    <row r="31" spans="1:25" ht="15" customHeight="1">
      <c r="A31" s="1638" t="s">
        <v>162</v>
      </c>
      <c r="B31" s="1671" t="s">
        <v>566</v>
      </c>
      <c r="C31" s="1683">
        <v>72885</v>
      </c>
      <c r="D31" s="1019">
        <v>87896</v>
      </c>
      <c r="E31" s="1672">
        <f t="shared" si="1"/>
        <v>86873</v>
      </c>
      <c r="F31" s="1016">
        <v>95</v>
      </c>
      <c r="G31" s="1016"/>
      <c r="H31" s="1016">
        <v>61</v>
      </c>
      <c r="I31" s="1016">
        <v>85940</v>
      </c>
      <c r="J31" s="1016"/>
      <c r="K31" s="1016"/>
      <c r="L31" s="1016">
        <v>777</v>
      </c>
      <c r="M31" s="1016"/>
      <c r="N31" s="1673"/>
      <c r="O31" s="1016"/>
      <c r="P31" s="1016"/>
      <c r="Q31" s="1016"/>
      <c r="R31" s="1016"/>
      <c r="S31" s="1673"/>
      <c r="T31" s="1674"/>
      <c r="U31" s="1014"/>
      <c r="V31" s="1016"/>
      <c r="W31" s="1709"/>
      <c r="Y31" s="1020"/>
    </row>
    <row r="32" spans="1:25" ht="15" customHeight="1">
      <c r="A32" s="1638" t="s">
        <v>163</v>
      </c>
      <c r="B32" s="1671" t="s">
        <v>567</v>
      </c>
      <c r="C32" s="1683">
        <v>92678</v>
      </c>
      <c r="D32" s="1019">
        <v>112312</v>
      </c>
      <c r="E32" s="1672">
        <f t="shared" si="1"/>
        <v>105471</v>
      </c>
      <c r="F32" s="1016">
        <v>250</v>
      </c>
      <c r="G32" s="1016">
        <v>2</v>
      </c>
      <c r="H32" s="1209">
        <v>66</v>
      </c>
      <c r="I32" s="1016">
        <v>93835</v>
      </c>
      <c r="J32" s="1016">
        <v>55</v>
      </c>
      <c r="K32" s="1016"/>
      <c r="L32" s="1016">
        <v>41</v>
      </c>
      <c r="M32" s="1016"/>
      <c r="N32" s="1673"/>
      <c r="O32" s="1016">
        <v>5629</v>
      </c>
      <c r="P32" s="1016"/>
      <c r="Q32" s="1016">
        <v>5593</v>
      </c>
      <c r="R32" s="1016"/>
      <c r="S32" s="1673"/>
      <c r="T32" s="1674"/>
      <c r="U32" s="1014"/>
      <c r="V32" s="1016"/>
      <c r="W32" s="1709"/>
      <c r="Y32" s="1020"/>
    </row>
    <row r="33" spans="1:25" ht="15" customHeight="1">
      <c r="A33" s="1638" t="s">
        <v>164</v>
      </c>
      <c r="B33" s="1671" t="s">
        <v>568</v>
      </c>
      <c r="C33" s="1683">
        <v>125761</v>
      </c>
      <c r="D33" s="1019">
        <v>147525</v>
      </c>
      <c r="E33" s="1672">
        <f t="shared" si="1"/>
        <v>144470</v>
      </c>
      <c r="F33" s="1016">
        <v>2</v>
      </c>
      <c r="G33" s="1016">
        <v>1</v>
      </c>
      <c r="H33" s="1016">
        <v>69</v>
      </c>
      <c r="I33" s="1016">
        <v>134718</v>
      </c>
      <c r="J33" s="1016">
        <v>35</v>
      </c>
      <c r="K33" s="1016"/>
      <c r="L33" s="1016"/>
      <c r="M33" s="1016">
        <f>574-1</f>
        <v>573</v>
      </c>
      <c r="N33" s="1673"/>
      <c r="O33" s="1016">
        <v>4305</v>
      </c>
      <c r="P33" s="1016"/>
      <c r="Q33" s="1016">
        <v>4767</v>
      </c>
      <c r="R33" s="1016"/>
      <c r="S33" s="1673"/>
      <c r="T33" s="1674"/>
      <c r="U33" s="1014"/>
      <c r="V33" s="1016"/>
      <c r="W33" s="1709"/>
      <c r="Y33" s="1020"/>
    </row>
    <row r="34" spans="1:25" ht="12.75">
      <c r="A34" s="1638"/>
      <c r="B34" s="1623"/>
      <c r="C34" s="1683"/>
      <c r="D34" s="1711"/>
      <c r="E34" s="1672"/>
      <c r="F34" s="1016"/>
      <c r="G34" s="1016"/>
      <c r="H34" s="1016"/>
      <c r="I34" s="1016"/>
      <c r="J34" s="1016"/>
      <c r="K34" s="1016"/>
      <c r="L34" s="1016"/>
      <c r="M34" s="1016"/>
      <c r="N34" s="1673"/>
      <c r="O34" s="1016"/>
      <c r="P34" s="1016"/>
      <c r="Q34" s="1016"/>
      <c r="R34" s="1016"/>
      <c r="S34" s="1673"/>
      <c r="T34" s="1674"/>
      <c r="U34" s="1014"/>
      <c r="V34" s="1016"/>
      <c r="W34" s="1709"/>
      <c r="Y34" s="1020"/>
    </row>
    <row r="35" spans="1:25" ht="19.5" customHeight="1">
      <c r="A35" s="2025"/>
      <c r="B35" s="2039" t="s">
        <v>58</v>
      </c>
      <c r="C35" s="2040">
        <f>SUM(C23:C34)</f>
        <v>1056521</v>
      </c>
      <c r="D35" s="2030">
        <f>SUM(D23:D34)</f>
        <v>1393961</v>
      </c>
      <c r="E35" s="2021">
        <f aca="true" t="shared" si="2" ref="E35:T35">SUM(E23:E34)</f>
        <v>1318975</v>
      </c>
      <c r="F35" s="2035">
        <f t="shared" si="2"/>
        <v>1817</v>
      </c>
      <c r="G35" s="2036">
        <f t="shared" si="2"/>
        <v>3</v>
      </c>
      <c r="H35" s="2036">
        <f t="shared" si="2"/>
        <v>715</v>
      </c>
      <c r="I35" s="2036">
        <f t="shared" si="2"/>
        <v>1255050</v>
      </c>
      <c r="J35" s="2036">
        <f t="shared" si="2"/>
        <v>350</v>
      </c>
      <c r="K35" s="2020">
        <f t="shared" si="2"/>
        <v>0</v>
      </c>
      <c r="L35" s="2020">
        <f t="shared" si="2"/>
        <v>12676</v>
      </c>
      <c r="M35" s="2021">
        <f t="shared" si="2"/>
        <v>1045</v>
      </c>
      <c r="N35" s="2022">
        <f t="shared" si="2"/>
        <v>0</v>
      </c>
      <c r="O35" s="2036">
        <f t="shared" si="2"/>
        <v>28001</v>
      </c>
      <c r="P35" s="2035">
        <f t="shared" si="2"/>
        <v>0</v>
      </c>
      <c r="Q35" s="2035">
        <f t="shared" si="2"/>
        <v>19318</v>
      </c>
      <c r="R35" s="2036">
        <f t="shared" si="2"/>
        <v>0</v>
      </c>
      <c r="S35" s="2022">
        <f t="shared" si="2"/>
        <v>0</v>
      </c>
      <c r="T35" s="2021">
        <f t="shared" si="2"/>
        <v>0</v>
      </c>
      <c r="U35" s="1014"/>
      <c r="V35" s="1016"/>
      <c r="W35" s="1709"/>
      <c r="Y35" s="1020"/>
    </row>
    <row r="36" spans="1:25" ht="12.75">
      <c r="A36" s="1624"/>
      <c r="B36" s="1623"/>
      <c r="C36" s="1683"/>
      <c r="D36" s="1711"/>
      <c r="E36" s="1672"/>
      <c r="F36" s="1016"/>
      <c r="G36" s="1016"/>
      <c r="H36" s="1016"/>
      <c r="I36" s="1016"/>
      <c r="J36" s="1016"/>
      <c r="K36" s="1016"/>
      <c r="L36" s="1016"/>
      <c r="M36" s="1016"/>
      <c r="N36" s="1673"/>
      <c r="O36" s="1016"/>
      <c r="P36" s="1016"/>
      <c r="Q36" s="1016"/>
      <c r="R36" s="1016"/>
      <c r="S36" s="1673"/>
      <c r="T36" s="1674"/>
      <c r="U36" s="1014"/>
      <c r="V36" s="1016"/>
      <c r="W36" s="1709"/>
      <c r="Y36" s="1020"/>
    </row>
    <row r="37" spans="1:25" ht="15" customHeight="1">
      <c r="A37" s="1638" t="s">
        <v>482</v>
      </c>
      <c r="B37" s="1671" t="s">
        <v>212</v>
      </c>
      <c r="C37" s="1683">
        <v>46880</v>
      </c>
      <c r="D37" s="1019">
        <v>52768</v>
      </c>
      <c r="E37" s="1672">
        <f>SUM(F37:T37)</f>
        <v>52498</v>
      </c>
      <c r="F37" s="1016">
        <v>1309</v>
      </c>
      <c r="G37" s="1016">
        <v>353</v>
      </c>
      <c r="H37" s="1016">
        <v>58</v>
      </c>
      <c r="I37" s="1016">
        <v>48873</v>
      </c>
      <c r="J37" s="1016"/>
      <c r="K37" s="1016"/>
      <c r="L37" s="1016">
        <v>1905</v>
      </c>
      <c r="M37" s="1016"/>
      <c r="N37" s="1673"/>
      <c r="O37" s="1016"/>
      <c r="P37" s="1016"/>
      <c r="Q37" s="1016"/>
      <c r="R37" s="1016"/>
      <c r="S37" s="1673"/>
      <c r="T37" s="1674"/>
      <c r="U37" s="1014"/>
      <c r="V37" s="1016"/>
      <c r="W37" s="1709"/>
      <c r="Y37" s="1020"/>
    </row>
    <row r="38" spans="1:25" ht="15" customHeight="1">
      <c r="A38" s="1638" t="s">
        <v>155</v>
      </c>
      <c r="B38" s="1671" t="s">
        <v>925</v>
      </c>
      <c r="C38" s="1683">
        <v>149592</v>
      </c>
      <c r="D38" s="1019">
        <v>146418</v>
      </c>
      <c r="E38" s="1672">
        <f>SUM(F38:T38)</f>
        <v>138999</v>
      </c>
      <c r="F38" s="1016">
        <f>6651+12938+5019+832+162-1</f>
        <v>25601</v>
      </c>
      <c r="G38" s="1016">
        <f>1995+4003</f>
        <v>5998</v>
      </c>
      <c r="H38" s="1016">
        <v>91</v>
      </c>
      <c r="I38" s="1016">
        <v>101108</v>
      </c>
      <c r="J38" s="1016">
        <v>815</v>
      </c>
      <c r="K38" s="1016"/>
      <c r="L38" s="1016"/>
      <c r="M38" s="1016">
        <f>2853-1</f>
        <v>2852</v>
      </c>
      <c r="N38" s="1673"/>
      <c r="O38" s="1016">
        <v>289</v>
      </c>
      <c r="P38" s="1016"/>
      <c r="Q38" s="1016">
        <v>2245</v>
      </c>
      <c r="R38" s="1016"/>
      <c r="S38" s="1673"/>
      <c r="T38" s="1674"/>
      <c r="U38" s="1014"/>
      <c r="V38" s="1016"/>
      <c r="W38" s="1709"/>
      <c r="Y38" s="1020"/>
    </row>
    <row r="39" spans="1:25" ht="15" customHeight="1">
      <c r="A39" s="1638" t="s">
        <v>156</v>
      </c>
      <c r="B39" s="1671" t="s">
        <v>926</v>
      </c>
      <c r="C39" s="1683">
        <v>124487</v>
      </c>
      <c r="D39" s="1019">
        <v>122740</v>
      </c>
      <c r="E39" s="1672">
        <f>SUM(F39:T39)</f>
        <v>113596</v>
      </c>
      <c r="F39" s="1016">
        <f>63+7525+10536</f>
        <v>18124</v>
      </c>
      <c r="G39" s="1016">
        <f>2562+3395</f>
        <v>5957</v>
      </c>
      <c r="H39" s="1016">
        <v>96</v>
      </c>
      <c r="I39" s="1016">
        <v>80031</v>
      </c>
      <c r="J39" s="1016">
        <f>8000+171</f>
        <v>8171</v>
      </c>
      <c r="K39" s="1016"/>
      <c r="L39" s="1016"/>
      <c r="M39" s="1016">
        <f>1218-1</f>
        <v>1217</v>
      </c>
      <c r="N39" s="1673"/>
      <c r="O39" s="1016"/>
      <c r="P39" s="1016"/>
      <c r="Q39" s="1016"/>
      <c r="R39" s="1016"/>
      <c r="S39" s="1673"/>
      <c r="T39" s="1674"/>
      <c r="U39" s="1014"/>
      <c r="V39" s="1016"/>
      <c r="W39" s="1709"/>
      <c r="Y39" s="1020"/>
    </row>
    <row r="40" spans="1:25" ht="15" customHeight="1">
      <c r="A40" s="1638" t="s">
        <v>157</v>
      </c>
      <c r="B40" s="1671" t="s">
        <v>927</v>
      </c>
      <c r="C40" s="1683">
        <v>85145</v>
      </c>
      <c r="D40" s="1019">
        <v>87675</v>
      </c>
      <c r="E40" s="1672">
        <f>SUM(F40:T40)</f>
        <v>83355</v>
      </c>
      <c r="F40" s="1016">
        <f>3825+8258</f>
        <v>12083</v>
      </c>
      <c r="G40" s="1016">
        <f>1655+2497</f>
        <v>4152</v>
      </c>
      <c r="H40" s="1016">
        <v>76</v>
      </c>
      <c r="I40" s="1016">
        <v>61965</v>
      </c>
      <c r="J40" s="1016"/>
      <c r="K40" s="1016"/>
      <c r="L40" s="1016">
        <v>5079</v>
      </c>
      <c r="M40" s="1016"/>
      <c r="N40" s="1673"/>
      <c r="O40" s="1016"/>
      <c r="P40" s="1016"/>
      <c r="Q40" s="1016"/>
      <c r="R40" s="1016"/>
      <c r="S40" s="1673"/>
      <c r="T40" s="1674"/>
      <c r="U40" s="1014"/>
      <c r="V40" s="1016"/>
      <c r="W40" s="1709"/>
      <c r="Y40" s="1020"/>
    </row>
    <row r="41" spans="1:25" ht="15" customHeight="1">
      <c r="A41" s="1638" t="s">
        <v>158</v>
      </c>
      <c r="B41" s="1671" t="s">
        <v>928</v>
      </c>
      <c r="C41" s="1683">
        <v>135965</v>
      </c>
      <c r="D41" s="1019">
        <v>148758</v>
      </c>
      <c r="E41" s="1672">
        <f>SUM(F41:T41)</f>
        <v>143242</v>
      </c>
      <c r="F41" s="1016">
        <v>474</v>
      </c>
      <c r="G41" s="1016"/>
      <c r="H41" s="1016">
        <v>71</v>
      </c>
      <c r="I41" s="1016">
        <v>132395</v>
      </c>
      <c r="J41" s="1016">
        <v>575</v>
      </c>
      <c r="K41" s="1016"/>
      <c r="L41" s="1016">
        <v>9342</v>
      </c>
      <c r="M41" s="1016"/>
      <c r="N41" s="1673"/>
      <c r="O41" s="1016">
        <v>385</v>
      </c>
      <c r="P41" s="1016"/>
      <c r="Q41" s="1016"/>
      <c r="R41" s="1016"/>
      <c r="S41" s="1673"/>
      <c r="T41" s="1674"/>
      <c r="U41" s="1014"/>
      <c r="V41" s="1016"/>
      <c r="W41" s="1709"/>
      <c r="Y41" s="1020"/>
    </row>
    <row r="42" spans="1:25" ht="12.75">
      <c r="A42" s="1638"/>
      <c r="B42" s="1671"/>
      <c r="C42" s="1683"/>
      <c r="D42" s="1711"/>
      <c r="E42" s="1672"/>
      <c r="F42" s="1016"/>
      <c r="G42" s="1016"/>
      <c r="H42" s="1016"/>
      <c r="I42" s="1016"/>
      <c r="J42" s="1016"/>
      <c r="K42" s="1016"/>
      <c r="L42" s="1016"/>
      <c r="M42" s="1016"/>
      <c r="N42" s="1673"/>
      <c r="O42" s="1016"/>
      <c r="P42" s="1016"/>
      <c r="Q42" s="1016"/>
      <c r="R42" s="1016"/>
      <c r="S42" s="1673"/>
      <c r="T42" s="1674"/>
      <c r="U42" s="1014"/>
      <c r="V42" s="1016"/>
      <c r="W42" s="1709"/>
      <c r="Y42" s="1020"/>
    </row>
    <row r="43" spans="1:27" ht="19.5" customHeight="1">
      <c r="A43" s="2025"/>
      <c r="B43" s="2039" t="s">
        <v>213</v>
      </c>
      <c r="C43" s="2040">
        <f>SUM(C37:C41)</f>
        <v>542069</v>
      </c>
      <c r="D43" s="2030">
        <f>SUM(D37:D42)</f>
        <v>558359</v>
      </c>
      <c r="E43" s="2021">
        <f aca="true" t="shared" si="3" ref="E43:T43">SUM(E37:E42)</f>
        <v>531690</v>
      </c>
      <c r="F43" s="2035">
        <f t="shared" si="3"/>
        <v>57591</v>
      </c>
      <c r="G43" s="2036">
        <f t="shared" si="3"/>
        <v>16460</v>
      </c>
      <c r="H43" s="2036">
        <f t="shared" si="3"/>
        <v>392</v>
      </c>
      <c r="I43" s="2036">
        <f t="shared" si="3"/>
        <v>424372</v>
      </c>
      <c r="J43" s="2036">
        <f t="shared" si="3"/>
        <v>9561</v>
      </c>
      <c r="K43" s="2020">
        <f t="shared" si="3"/>
        <v>0</v>
      </c>
      <c r="L43" s="2020">
        <f t="shared" si="3"/>
        <v>16326</v>
      </c>
      <c r="M43" s="2021">
        <f t="shared" si="3"/>
        <v>4069</v>
      </c>
      <c r="N43" s="2022">
        <f t="shared" si="3"/>
        <v>0</v>
      </c>
      <c r="O43" s="2036">
        <f t="shared" si="3"/>
        <v>674</v>
      </c>
      <c r="P43" s="2035">
        <f t="shared" si="3"/>
        <v>0</v>
      </c>
      <c r="Q43" s="2035">
        <f t="shared" si="3"/>
        <v>2245</v>
      </c>
      <c r="R43" s="2036">
        <f t="shared" si="3"/>
        <v>0</v>
      </c>
      <c r="S43" s="2022">
        <f t="shared" si="3"/>
        <v>0</v>
      </c>
      <c r="T43" s="2021">
        <f t="shared" si="3"/>
        <v>0</v>
      </c>
      <c r="U43" s="1021"/>
      <c r="V43" s="1016"/>
      <c r="W43" s="1709"/>
      <c r="X43" s="1015"/>
      <c r="Y43" s="1020"/>
      <c r="AA43" s="1020"/>
    </row>
    <row r="44" spans="1:27" ht="12.75">
      <c r="A44" s="2042"/>
      <c r="B44" s="2043"/>
      <c r="C44" s="2044"/>
      <c r="D44" s="2072"/>
      <c r="E44" s="2046"/>
      <c r="F44" s="2047"/>
      <c r="G44" s="2047"/>
      <c r="H44" s="2047"/>
      <c r="I44" s="2047"/>
      <c r="J44" s="2047"/>
      <c r="K44" s="2047"/>
      <c r="L44" s="2047"/>
      <c r="M44" s="2047"/>
      <c r="N44" s="2048"/>
      <c r="O44" s="2047"/>
      <c r="P44" s="2047"/>
      <c r="Q44" s="2047"/>
      <c r="R44" s="2047"/>
      <c r="S44" s="2048"/>
      <c r="T44" s="2049"/>
      <c r="U44" s="1021"/>
      <c r="V44" s="1016"/>
      <c r="W44" s="1709"/>
      <c r="X44" s="1015"/>
      <c r="Y44" s="1020"/>
      <c r="AA44" s="1020"/>
    </row>
    <row r="45" spans="1:27" ht="15" customHeight="1">
      <c r="A45" s="2012" t="s">
        <v>482</v>
      </c>
      <c r="B45" s="2013" t="s">
        <v>569</v>
      </c>
      <c r="C45" s="2014">
        <v>217715</v>
      </c>
      <c r="D45" s="2015">
        <v>342949</v>
      </c>
      <c r="E45" s="2016">
        <f>SUM(F45:T45)</f>
        <v>329216</v>
      </c>
      <c r="F45" s="2035"/>
      <c r="G45" s="2036"/>
      <c r="H45" s="2073">
        <v>29</v>
      </c>
      <c r="I45" s="2017">
        <v>273501</v>
      </c>
      <c r="J45" s="2074">
        <v>1220</v>
      </c>
      <c r="K45" s="2035"/>
      <c r="L45" s="2035"/>
      <c r="M45" s="2021"/>
      <c r="N45" s="2022"/>
      <c r="O45" s="2074">
        <v>54466</v>
      </c>
      <c r="P45" s="2035"/>
      <c r="Q45" s="2035"/>
      <c r="R45" s="2021"/>
      <c r="S45" s="2022"/>
      <c r="T45" s="2021"/>
      <c r="U45" s="1021"/>
      <c r="V45" s="1016"/>
      <c r="W45" s="1709"/>
      <c r="X45" s="1015"/>
      <c r="Y45" s="1020"/>
      <c r="AA45" s="1020"/>
    </row>
    <row r="46" spans="1:25" ht="13.5" thickBot="1">
      <c r="A46" s="2042"/>
      <c r="B46" s="2043"/>
      <c r="C46" s="2044"/>
      <c r="D46" s="2072"/>
      <c r="E46" s="2046"/>
      <c r="F46" s="2051"/>
      <c r="G46" s="2051"/>
      <c r="H46" s="2051"/>
      <c r="I46" s="2051"/>
      <c r="J46" s="2051"/>
      <c r="K46" s="2051"/>
      <c r="L46" s="2051"/>
      <c r="M46" s="2051"/>
      <c r="N46" s="2052"/>
      <c r="O46" s="2051"/>
      <c r="P46" s="2051"/>
      <c r="Q46" s="2051"/>
      <c r="R46" s="2051"/>
      <c r="S46" s="2052"/>
      <c r="T46" s="2053"/>
      <c r="U46" s="1014"/>
      <c r="V46" s="1016"/>
      <c r="W46" s="1709"/>
      <c r="X46" s="1015"/>
      <c r="Y46" s="1020"/>
    </row>
    <row r="47" spans="1:25" ht="13.5" hidden="1" thickBot="1">
      <c r="A47" s="2056"/>
      <c r="B47" s="2057"/>
      <c r="C47" s="2058"/>
      <c r="D47" s="2075"/>
      <c r="E47" s="2060"/>
      <c r="F47" s="2051"/>
      <c r="G47" s="2051"/>
      <c r="H47" s="2051"/>
      <c r="I47" s="2051"/>
      <c r="J47" s="2051"/>
      <c r="K47" s="2051"/>
      <c r="L47" s="2051"/>
      <c r="M47" s="2051"/>
      <c r="N47" s="2052"/>
      <c r="O47" s="2051"/>
      <c r="P47" s="2051"/>
      <c r="Q47" s="2051"/>
      <c r="R47" s="2051"/>
      <c r="S47" s="2052"/>
      <c r="T47" s="2053"/>
      <c r="U47" s="1014"/>
      <c r="V47" s="1016">
        <f>E47-'6_sz_tábla K. '!E47</f>
        <v>0</v>
      </c>
      <c r="W47" s="1709"/>
      <c r="X47" s="1015"/>
      <c r="Y47" s="1020"/>
    </row>
    <row r="48" spans="1:25" ht="13.5" hidden="1" thickBot="1">
      <c r="A48" s="2056"/>
      <c r="B48" s="2057"/>
      <c r="C48" s="2058"/>
      <c r="D48" s="2075"/>
      <c r="E48" s="2060"/>
      <c r="F48" s="2051"/>
      <c r="G48" s="2051"/>
      <c r="H48" s="2051"/>
      <c r="I48" s="2051"/>
      <c r="J48" s="2051"/>
      <c r="K48" s="2051"/>
      <c r="L48" s="2051"/>
      <c r="M48" s="2051"/>
      <c r="N48" s="2052"/>
      <c r="O48" s="2051"/>
      <c r="P48" s="2051"/>
      <c r="Q48" s="2051"/>
      <c r="R48" s="2051"/>
      <c r="S48" s="2052"/>
      <c r="T48" s="2053"/>
      <c r="U48" s="1014"/>
      <c r="V48" s="1016">
        <f>E48-'6_sz_tábla K. '!E48</f>
        <v>0</v>
      </c>
      <c r="W48" s="1709"/>
      <c r="X48" s="1015"/>
      <c r="Y48" s="1020"/>
    </row>
    <row r="49" spans="1:25" ht="13.5" hidden="1" thickBot="1">
      <c r="A49" s="2056"/>
      <c r="B49" s="2076"/>
      <c r="C49" s="2077"/>
      <c r="D49" s="2078"/>
      <c r="E49" s="2060"/>
      <c r="F49" s="2051"/>
      <c r="G49" s="2051"/>
      <c r="H49" s="2051"/>
      <c r="I49" s="2051"/>
      <c r="J49" s="2051"/>
      <c r="K49" s="2051"/>
      <c r="L49" s="2051"/>
      <c r="M49" s="2051"/>
      <c r="N49" s="2052"/>
      <c r="O49" s="2051"/>
      <c r="P49" s="2051"/>
      <c r="Q49" s="2051"/>
      <c r="R49" s="2051"/>
      <c r="S49" s="2052"/>
      <c r="T49" s="2053"/>
      <c r="U49" s="1014"/>
      <c r="V49" s="1016">
        <f>E49-'6_sz_tábla K. '!E49</f>
        <v>0</v>
      </c>
      <c r="W49" s="1709"/>
      <c r="X49" s="1015"/>
      <c r="Y49" s="1020"/>
    </row>
    <row r="50" spans="1:25" ht="19.5" customHeight="1" thickBot="1">
      <c r="A50" s="2079"/>
      <c r="B50" s="2080" t="s">
        <v>588</v>
      </c>
      <c r="C50" s="2081">
        <f>C21+C35+C43+C45</f>
        <v>2262695</v>
      </c>
      <c r="D50" s="2082">
        <f>D21+D35+D43+D45</f>
        <v>2817346</v>
      </c>
      <c r="E50" s="2083">
        <f aca="true" t="shared" si="4" ref="E50:T50">E21+E35+E43+E45</f>
        <v>2669711</v>
      </c>
      <c r="F50" s="2084">
        <f t="shared" si="4"/>
        <v>118996</v>
      </c>
      <c r="G50" s="2085">
        <f t="shared" si="4"/>
        <v>24557</v>
      </c>
      <c r="H50" s="2085">
        <f t="shared" si="4"/>
        <v>1390</v>
      </c>
      <c r="I50" s="2085">
        <f t="shared" si="4"/>
        <v>2348461</v>
      </c>
      <c r="J50" s="2085">
        <f t="shared" si="4"/>
        <v>11131</v>
      </c>
      <c r="K50" s="2085">
        <f t="shared" si="4"/>
        <v>0</v>
      </c>
      <c r="L50" s="2085">
        <f t="shared" si="4"/>
        <v>32617</v>
      </c>
      <c r="M50" s="2084">
        <f t="shared" si="4"/>
        <v>5944</v>
      </c>
      <c r="N50" s="2086">
        <f t="shared" si="4"/>
        <v>0</v>
      </c>
      <c r="O50" s="2085">
        <f t="shared" si="4"/>
        <v>101256</v>
      </c>
      <c r="P50" s="2087">
        <f t="shared" si="4"/>
        <v>0</v>
      </c>
      <c r="Q50" s="2085">
        <f t="shared" si="4"/>
        <v>25359</v>
      </c>
      <c r="R50" s="2085">
        <f t="shared" si="4"/>
        <v>0</v>
      </c>
      <c r="S50" s="2086">
        <f t="shared" si="4"/>
        <v>0</v>
      </c>
      <c r="T50" s="2083">
        <f t="shared" si="4"/>
        <v>0</v>
      </c>
      <c r="U50" s="1014"/>
      <c r="V50" s="1016"/>
      <c r="W50" s="1709"/>
      <c r="X50" s="1015"/>
      <c r="Y50" s="1020"/>
    </row>
    <row r="51" spans="3:24" ht="12.75">
      <c r="C51" s="1008"/>
      <c r="D51" s="1008"/>
      <c r="E51" s="1017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8"/>
      <c r="Q51" s="1008"/>
      <c r="R51" s="1008"/>
      <c r="S51" s="1008"/>
      <c r="T51" s="1008"/>
      <c r="U51" s="1014"/>
      <c r="V51" s="1016"/>
      <c r="W51" s="1709"/>
      <c r="X51" s="1015"/>
    </row>
    <row r="52" spans="3:23" ht="12.75">
      <c r="C52" s="1008"/>
      <c r="D52" s="1008"/>
      <c r="E52" s="1017"/>
      <c r="F52" s="1008"/>
      <c r="G52" s="1008"/>
      <c r="H52" s="1008"/>
      <c r="I52" s="2008"/>
      <c r="J52" s="1016"/>
      <c r="K52" s="1008"/>
      <c r="L52" s="1008"/>
      <c r="M52" s="1016"/>
      <c r="N52" s="1008"/>
      <c r="O52" s="2008"/>
      <c r="P52" s="1019"/>
      <c r="Q52" s="1016"/>
      <c r="R52" s="1008"/>
      <c r="S52" s="1008"/>
      <c r="T52" s="1008"/>
      <c r="U52" s="1014"/>
      <c r="V52" s="1016"/>
      <c r="W52" s="1015"/>
    </row>
    <row r="53" spans="2:23" ht="12.75">
      <c r="B53" s="1020"/>
      <c r="C53" s="1019"/>
      <c r="D53" s="1019"/>
      <c r="E53" s="1017"/>
      <c r="F53" s="1019"/>
      <c r="G53" s="1008"/>
      <c r="H53" s="1019"/>
      <c r="I53" s="1008"/>
      <c r="J53" s="1019"/>
      <c r="K53" s="1008"/>
      <c r="L53" s="1008"/>
      <c r="M53" s="1008"/>
      <c r="N53" s="1008"/>
      <c r="O53" s="1008"/>
      <c r="P53" s="1008"/>
      <c r="Q53" s="1008"/>
      <c r="R53" s="1008"/>
      <c r="S53" s="1008"/>
      <c r="T53" s="1008"/>
      <c r="U53" s="1014"/>
      <c r="V53" s="1016"/>
      <c r="W53" s="1015"/>
    </row>
    <row r="54" spans="2:23" ht="12.75">
      <c r="B54" s="1016"/>
      <c r="C54" s="1016"/>
      <c r="D54" s="1016"/>
      <c r="E54" s="1017"/>
      <c r="F54" s="1008"/>
      <c r="G54" s="1008"/>
      <c r="H54" s="1008"/>
      <c r="I54" s="1008"/>
      <c r="J54" s="1019"/>
      <c r="K54" s="1019"/>
      <c r="L54" s="1008"/>
      <c r="M54" s="1008"/>
      <c r="N54" s="1008"/>
      <c r="O54" s="1008"/>
      <c r="P54" s="1019"/>
      <c r="Q54" s="1008"/>
      <c r="R54" s="1008"/>
      <c r="S54" s="1008"/>
      <c r="T54" s="1008"/>
      <c r="U54" s="1014"/>
      <c r="V54" s="1016"/>
      <c r="W54" s="1015"/>
    </row>
    <row r="55" spans="3:23" ht="12.75">
      <c r="C55" s="1008"/>
      <c r="D55" s="1008"/>
      <c r="E55" s="1017"/>
      <c r="F55" s="1019"/>
      <c r="G55" s="1008"/>
      <c r="H55" s="1019"/>
      <c r="I55" s="1008"/>
      <c r="J55" s="1008"/>
      <c r="K55" s="1008"/>
      <c r="L55" s="1008"/>
      <c r="M55" s="1008"/>
      <c r="N55" s="1019"/>
      <c r="O55" s="1008"/>
      <c r="P55" s="1008"/>
      <c r="Q55" s="1008"/>
      <c r="R55" s="1008"/>
      <c r="S55" s="1008"/>
      <c r="T55" s="1008"/>
      <c r="U55" s="1014"/>
      <c r="V55" s="1016"/>
      <c r="W55" s="1015"/>
    </row>
    <row r="56" spans="2:23" ht="12.75">
      <c r="B56" s="1020"/>
      <c r="C56" s="1019"/>
      <c r="D56" s="1019"/>
      <c r="E56" s="1017"/>
      <c r="F56" s="1019"/>
      <c r="G56" s="1008"/>
      <c r="H56" s="1008"/>
      <c r="I56" s="1019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  <c r="T56" s="1008"/>
      <c r="U56" s="1014"/>
      <c r="V56" s="1016"/>
      <c r="W56" s="1015"/>
    </row>
    <row r="57" spans="3:23" ht="12.75">
      <c r="C57" s="1008"/>
      <c r="D57" s="1008"/>
      <c r="E57" s="1017"/>
      <c r="F57" s="1008"/>
      <c r="G57" s="1008"/>
      <c r="H57" s="1008"/>
      <c r="I57" s="1019"/>
      <c r="J57" s="1008"/>
      <c r="K57" s="1008"/>
      <c r="L57" s="1008"/>
      <c r="M57" s="1008"/>
      <c r="N57" s="1008"/>
      <c r="O57" s="1008"/>
      <c r="P57" s="1008"/>
      <c r="Q57" s="1008"/>
      <c r="R57" s="1008"/>
      <c r="S57" s="1008"/>
      <c r="T57" s="1008"/>
      <c r="U57" s="1014"/>
      <c r="V57" s="1016"/>
      <c r="W57" s="1015"/>
    </row>
    <row r="58" spans="3:23" ht="12.75">
      <c r="C58" s="1008"/>
      <c r="D58" s="1008"/>
      <c r="E58" s="1018"/>
      <c r="F58" s="1019"/>
      <c r="G58" s="1008"/>
      <c r="H58" s="1008"/>
      <c r="I58" s="1008"/>
      <c r="J58" s="1008"/>
      <c r="K58" s="1019"/>
      <c r="L58" s="1008"/>
      <c r="M58" s="1008"/>
      <c r="N58" s="1008"/>
      <c r="O58" s="1008"/>
      <c r="P58" s="1008"/>
      <c r="Q58" s="1008"/>
      <c r="R58" s="1008"/>
      <c r="S58" s="1008"/>
      <c r="T58" s="1008"/>
      <c r="U58" s="1014"/>
      <c r="V58" s="1016"/>
      <c r="W58" s="1015"/>
    </row>
    <row r="59" spans="3:22" ht="12.75">
      <c r="C59" s="1008"/>
      <c r="D59" s="1008"/>
      <c r="E59" s="1017"/>
      <c r="F59" s="1008"/>
      <c r="G59" s="1008"/>
      <c r="H59" s="1008"/>
      <c r="I59" s="1008"/>
      <c r="J59" s="1008"/>
      <c r="K59" s="1008"/>
      <c r="L59" s="1008"/>
      <c r="M59" s="1019"/>
      <c r="N59" s="1008"/>
      <c r="O59" s="1019"/>
      <c r="P59" s="1019"/>
      <c r="Q59" s="1008"/>
      <c r="R59" s="1008"/>
      <c r="S59" s="1008"/>
      <c r="T59" s="1008"/>
      <c r="U59" s="1008"/>
      <c r="V59" s="1016"/>
    </row>
    <row r="60" spans="3:22" ht="12.75">
      <c r="C60" s="1008"/>
      <c r="D60" s="1008"/>
      <c r="E60" s="1018"/>
      <c r="F60" s="1008"/>
      <c r="G60" s="1008"/>
      <c r="H60" s="1008"/>
      <c r="I60" s="1008"/>
      <c r="J60" s="1008"/>
      <c r="K60" s="1008"/>
      <c r="L60" s="1008"/>
      <c r="M60" s="1008"/>
      <c r="N60" s="1008"/>
      <c r="O60" s="1008"/>
      <c r="P60" s="1008"/>
      <c r="Q60" s="1008"/>
      <c r="R60" s="1008"/>
      <c r="S60" s="1008"/>
      <c r="T60" s="1008"/>
      <c r="U60" s="1008"/>
      <c r="V60" s="1016"/>
    </row>
    <row r="61" spans="3:23" ht="12.75">
      <c r="C61" s="1008"/>
      <c r="D61" s="1008"/>
      <c r="E61" s="1018"/>
      <c r="F61" s="1018"/>
      <c r="G61" s="100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6"/>
      <c r="W61" s="1007"/>
    </row>
    <row r="62" spans="3:23" ht="12.75">
      <c r="C62" s="1008"/>
      <c r="D62" s="1008"/>
      <c r="E62" s="1018"/>
      <c r="F62" s="1018"/>
      <c r="G62" s="1008"/>
      <c r="H62" s="1018"/>
      <c r="I62" s="1018"/>
      <c r="J62" s="1018"/>
      <c r="K62" s="1018"/>
      <c r="L62" s="1018"/>
      <c r="M62" s="1018"/>
      <c r="N62" s="1018"/>
      <c r="O62" s="1018"/>
      <c r="P62" s="1018"/>
      <c r="Q62" s="1018"/>
      <c r="R62" s="1018"/>
      <c r="S62" s="1018"/>
      <c r="T62" s="1018"/>
      <c r="U62" s="1018"/>
      <c r="V62" s="1016"/>
      <c r="W62" s="1007"/>
    </row>
    <row r="63" spans="3:23" ht="12.75">
      <c r="C63" s="1008"/>
      <c r="D63" s="1008"/>
      <c r="E63" s="1018"/>
      <c r="F63" s="1018"/>
      <c r="G63" s="100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1018"/>
      <c r="V63" s="1016"/>
      <c r="W63" s="1007"/>
    </row>
    <row r="64" spans="3:23" ht="12.75">
      <c r="C64" s="1008"/>
      <c r="D64" s="1008"/>
      <c r="E64" s="1018"/>
      <c r="F64" s="1018"/>
      <c r="G64" s="100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6"/>
      <c r="W64" s="1007"/>
    </row>
    <row r="65" spans="3:23" ht="12.75">
      <c r="C65" s="1008"/>
      <c r="D65" s="1008"/>
      <c r="E65" s="1018"/>
      <c r="F65" s="1018"/>
      <c r="G65" s="1008"/>
      <c r="H65" s="1018"/>
      <c r="I65" s="1018"/>
      <c r="J65" s="1018"/>
      <c r="K65" s="1018"/>
      <c r="L65" s="1018"/>
      <c r="M65" s="1018"/>
      <c r="N65" s="1018"/>
      <c r="O65" s="1018"/>
      <c r="P65" s="1018"/>
      <c r="Q65" s="1018"/>
      <c r="R65" s="1018"/>
      <c r="S65" s="1018"/>
      <c r="T65" s="1018"/>
      <c r="U65" s="1018"/>
      <c r="V65" s="1016"/>
      <c r="W65" s="1007"/>
    </row>
    <row r="66" spans="3:23" ht="12.75">
      <c r="C66" s="1008"/>
      <c r="D66" s="1008"/>
      <c r="E66" s="1018"/>
      <c r="F66" s="1018"/>
      <c r="G66" s="100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18"/>
      <c r="S66" s="1018"/>
      <c r="T66" s="1018"/>
      <c r="U66" s="1018"/>
      <c r="V66" s="1016"/>
      <c r="W66" s="1007"/>
    </row>
    <row r="67" spans="3:23" ht="12.75">
      <c r="C67" s="1008"/>
      <c r="D67" s="1008"/>
      <c r="E67" s="1018"/>
      <c r="F67" s="1018"/>
      <c r="G67" s="100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6"/>
      <c r="W67" s="1007"/>
    </row>
    <row r="68" spans="3:23" ht="12.75">
      <c r="C68" s="1008"/>
      <c r="D68" s="1008"/>
      <c r="E68" s="1018"/>
      <c r="F68" s="1018"/>
      <c r="G68" s="1008"/>
      <c r="H68" s="1018"/>
      <c r="I68" s="1018"/>
      <c r="J68" s="1018"/>
      <c r="K68" s="1018"/>
      <c r="L68" s="1018"/>
      <c r="M68" s="1018"/>
      <c r="N68" s="1018"/>
      <c r="O68" s="1018"/>
      <c r="P68" s="1018"/>
      <c r="Q68" s="1018"/>
      <c r="R68" s="1018"/>
      <c r="S68" s="1018"/>
      <c r="T68" s="1018"/>
      <c r="U68" s="1018"/>
      <c r="V68" s="1016"/>
      <c r="W68" s="1007"/>
    </row>
    <row r="69" spans="3:23" ht="12.75">
      <c r="C69" s="1008"/>
      <c r="D69" s="1008"/>
      <c r="E69" s="1018"/>
      <c r="F69" s="1018"/>
      <c r="G69" s="100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6"/>
      <c r="W69" s="1007"/>
    </row>
    <row r="70" spans="3:23" ht="12.75">
      <c r="C70" s="1008"/>
      <c r="D70" s="1008"/>
      <c r="E70" s="1018"/>
      <c r="F70" s="1018"/>
      <c r="G70" s="100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6"/>
      <c r="W70" s="1007"/>
    </row>
    <row r="71" spans="3:23" ht="12.75">
      <c r="C71" s="1008"/>
      <c r="D71" s="1008"/>
      <c r="E71" s="1018"/>
      <c r="F71" s="1018"/>
      <c r="G71" s="100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/>
      <c r="R71" s="1018"/>
      <c r="S71" s="1018"/>
      <c r="T71" s="1018"/>
      <c r="U71" s="1018"/>
      <c r="V71" s="1016"/>
      <c r="W71" s="1007"/>
    </row>
    <row r="72" spans="3:23" ht="12.75">
      <c r="C72" s="1008"/>
      <c r="D72" s="1008"/>
      <c r="E72" s="1018"/>
      <c r="F72" s="1018"/>
      <c r="G72" s="100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18"/>
      <c r="U72" s="1018"/>
      <c r="V72" s="1016"/>
      <c r="W72" s="1007"/>
    </row>
    <row r="73" spans="3:23" ht="12.75">
      <c r="C73" s="1008"/>
      <c r="D73" s="1008"/>
      <c r="E73" s="1018"/>
      <c r="F73" s="1018"/>
      <c r="G73" s="100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6"/>
      <c r="W73" s="1007"/>
    </row>
    <row r="74" spans="5:23" ht="12.75">
      <c r="E74" s="1007"/>
      <c r="F74" s="1007"/>
      <c r="H74" s="1007"/>
      <c r="I74" s="1007"/>
      <c r="J74" s="1007"/>
      <c r="K74" s="1007"/>
      <c r="L74" s="1007"/>
      <c r="M74" s="1007"/>
      <c r="N74" s="1007"/>
      <c r="O74" s="1007"/>
      <c r="P74" s="1007"/>
      <c r="Q74" s="1007"/>
      <c r="R74" s="1007"/>
      <c r="S74" s="1007"/>
      <c r="T74" s="1007"/>
      <c r="U74" s="1007"/>
      <c r="V74" s="1709"/>
      <c r="W74" s="1007"/>
    </row>
    <row r="75" spans="6:23" ht="12.75"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7"/>
      <c r="R75" s="1007"/>
      <c r="S75" s="1007"/>
      <c r="T75" s="1007"/>
      <c r="U75" s="1007"/>
      <c r="V75" s="1709"/>
      <c r="W75" s="1007"/>
    </row>
    <row r="76" spans="5:23" ht="12.75"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709"/>
      <c r="W76" s="1007"/>
    </row>
    <row r="77" spans="5:23" ht="12.75">
      <c r="E77" s="1007"/>
      <c r="F77" s="1007"/>
      <c r="G77" s="1007"/>
      <c r="H77" s="1007"/>
      <c r="I77" s="1007"/>
      <c r="J77" s="1007"/>
      <c r="K77" s="1007"/>
      <c r="L77" s="1007"/>
      <c r="M77" s="1007"/>
      <c r="N77" s="1007"/>
      <c r="O77" s="1007"/>
      <c r="P77" s="1007"/>
      <c r="Q77" s="1007"/>
      <c r="R77" s="1007"/>
      <c r="S77" s="1007"/>
      <c r="T77" s="1007"/>
      <c r="U77" s="1007"/>
      <c r="V77" s="1007"/>
      <c r="W77" s="1007"/>
    </row>
    <row r="78" spans="5:23" ht="12.75">
      <c r="E78" s="1007"/>
      <c r="F78" s="1007"/>
      <c r="G78" s="1007"/>
      <c r="H78" s="1007"/>
      <c r="I78" s="1007"/>
      <c r="J78" s="1007"/>
      <c r="K78" s="1007"/>
      <c r="L78" s="1007"/>
      <c r="M78" s="1007"/>
      <c r="N78" s="1007"/>
      <c r="O78" s="1007"/>
      <c r="P78" s="1007"/>
      <c r="Q78" s="1007"/>
      <c r="R78" s="1007"/>
      <c r="S78" s="1007"/>
      <c r="T78" s="1007"/>
      <c r="U78" s="1007"/>
      <c r="V78" s="1007"/>
      <c r="W78" s="1007"/>
    </row>
    <row r="79" spans="5:23" ht="12.75">
      <c r="E79" s="1007"/>
      <c r="F79" s="1007"/>
      <c r="G79" s="1007"/>
      <c r="H79" s="1007"/>
      <c r="I79" s="1007"/>
      <c r="J79" s="1007"/>
      <c r="K79" s="1007"/>
      <c r="L79" s="1007"/>
      <c r="M79" s="1007"/>
      <c r="N79" s="1007"/>
      <c r="O79" s="1007"/>
      <c r="P79" s="1007"/>
      <c r="Q79" s="1007"/>
      <c r="R79" s="1007"/>
      <c r="S79" s="1007"/>
      <c r="T79" s="1007"/>
      <c r="U79" s="1007"/>
      <c r="V79" s="1007"/>
      <c r="W79" s="1007"/>
    </row>
    <row r="80" spans="5:23" ht="12.75">
      <c r="E80" s="1007"/>
      <c r="F80" s="1007"/>
      <c r="G80" s="1007"/>
      <c r="H80" s="1007"/>
      <c r="I80" s="1007"/>
      <c r="J80" s="1007"/>
      <c r="K80" s="1007"/>
      <c r="L80" s="1007"/>
      <c r="M80" s="1007"/>
      <c r="N80" s="1007"/>
      <c r="O80" s="1007"/>
      <c r="P80" s="1007"/>
      <c r="Q80" s="1007"/>
      <c r="R80" s="1007"/>
      <c r="S80" s="1007"/>
      <c r="T80" s="1007"/>
      <c r="U80" s="1007"/>
      <c r="V80" s="1007"/>
      <c r="W80" s="1007"/>
    </row>
    <row r="81" spans="5:23" ht="12.75">
      <c r="E81" s="1007"/>
      <c r="F81" s="1007"/>
      <c r="G81" s="1007"/>
      <c r="H81" s="1007"/>
      <c r="I81" s="1007"/>
      <c r="J81" s="1007"/>
      <c r="K81" s="1007"/>
      <c r="L81" s="1007"/>
      <c r="M81" s="1007"/>
      <c r="N81" s="1007"/>
      <c r="O81" s="1007"/>
      <c r="P81" s="1007"/>
      <c r="Q81" s="1007"/>
      <c r="R81" s="1007"/>
      <c r="S81" s="1007"/>
      <c r="T81" s="1007"/>
      <c r="U81" s="1007"/>
      <c r="V81" s="1007"/>
      <c r="W81" s="1007"/>
    </row>
    <row r="82" spans="5:23" ht="12.75">
      <c r="E82" s="1007"/>
      <c r="F82" s="1007"/>
      <c r="G82" s="1007"/>
      <c r="H82" s="1007"/>
      <c r="I82" s="1007"/>
      <c r="J82" s="1007"/>
      <c r="K82" s="1007"/>
      <c r="L82" s="1007"/>
      <c r="M82" s="1007"/>
      <c r="N82" s="1007"/>
      <c r="O82" s="1007"/>
      <c r="P82" s="1007"/>
      <c r="Q82" s="1007"/>
      <c r="R82" s="1007"/>
      <c r="S82" s="1007"/>
      <c r="T82" s="1007"/>
      <c r="U82" s="1007"/>
      <c r="V82" s="1007"/>
      <c r="W82" s="1007"/>
    </row>
    <row r="83" spans="5:23" ht="12.75">
      <c r="E83" s="1007"/>
      <c r="F83" s="1007"/>
      <c r="G83" s="1007"/>
      <c r="H83" s="1007"/>
      <c r="I83" s="1007"/>
      <c r="J83" s="1007"/>
      <c r="K83" s="1007"/>
      <c r="L83" s="1007"/>
      <c r="M83" s="1007"/>
      <c r="N83" s="1007"/>
      <c r="O83" s="1007"/>
      <c r="P83" s="1007"/>
      <c r="Q83" s="1007"/>
      <c r="R83" s="1007"/>
      <c r="S83" s="1007"/>
      <c r="T83" s="1007"/>
      <c r="U83" s="1007"/>
      <c r="V83" s="1007"/>
      <c r="W83" s="1007"/>
    </row>
    <row r="84" spans="5:23" ht="12.75">
      <c r="E84" s="1007"/>
      <c r="F84" s="1007"/>
      <c r="G84" s="1007"/>
      <c r="H84" s="1007"/>
      <c r="I84" s="1007"/>
      <c r="J84" s="1007"/>
      <c r="K84" s="1007"/>
      <c r="L84" s="1007"/>
      <c r="M84" s="1007"/>
      <c r="N84" s="1007"/>
      <c r="O84" s="1007"/>
      <c r="P84" s="1007"/>
      <c r="Q84" s="1007"/>
      <c r="R84" s="1007"/>
      <c r="S84" s="1007"/>
      <c r="T84" s="1007"/>
      <c r="U84" s="1007"/>
      <c r="V84" s="1007"/>
      <c r="W84" s="1007"/>
    </row>
    <row r="85" spans="5:23" ht="12.75">
      <c r="E85" s="1007"/>
      <c r="F85" s="1007"/>
      <c r="G85" s="1007"/>
      <c r="H85" s="1007"/>
      <c r="I85" s="1007"/>
      <c r="J85" s="1007"/>
      <c r="K85" s="1007"/>
      <c r="L85" s="1007"/>
      <c r="M85" s="1007"/>
      <c r="N85" s="1007"/>
      <c r="O85" s="1007"/>
      <c r="P85" s="1007"/>
      <c r="Q85" s="1007"/>
      <c r="R85" s="1007"/>
      <c r="S85" s="1007"/>
      <c r="T85" s="1007"/>
      <c r="U85" s="1007"/>
      <c r="V85" s="1007"/>
      <c r="W85" s="1007"/>
    </row>
    <row r="86" spans="5:23" ht="12.75">
      <c r="E86" s="1007"/>
      <c r="F86" s="1007"/>
      <c r="G86" s="1007"/>
      <c r="H86" s="1007"/>
      <c r="I86" s="1007"/>
      <c r="J86" s="1007"/>
      <c r="K86" s="1007"/>
      <c r="L86" s="1007"/>
      <c r="M86" s="1007"/>
      <c r="N86" s="1007"/>
      <c r="O86" s="1007"/>
      <c r="P86" s="1007"/>
      <c r="Q86" s="1007"/>
      <c r="R86" s="1007"/>
      <c r="S86" s="1007"/>
      <c r="T86" s="1007"/>
      <c r="U86" s="1007"/>
      <c r="V86" s="1007"/>
      <c r="W86" s="1007"/>
    </row>
    <row r="87" spans="5:23" ht="12.75"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  <c r="V87" s="1007"/>
      <c r="W87" s="1007"/>
    </row>
    <row r="88" spans="5:23" ht="12.75">
      <c r="E88" s="1007"/>
      <c r="F88" s="1007"/>
      <c r="G88" s="1007"/>
      <c r="H88" s="1007"/>
      <c r="I88" s="1007"/>
      <c r="J88" s="1007"/>
      <c r="K88" s="1007"/>
      <c r="L88" s="1007"/>
      <c r="M88" s="1007"/>
      <c r="N88" s="1007"/>
      <c r="O88" s="1007"/>
      <c r="P88" s="1007"/>
      <c r="Q88" s="1007"/>
      <c r="R88" s="1007"/>
      <c r="S88" s="1007"/>
      <c r="T88" s="1007"/>
      <c r="U88" s="1007"/>
      <c r="V88" s="1007"/>
      <c r="W88" s="1007"/>
    </row>
    <row r="89" spans="5:23" ht="12.75">
      <c r="E89" s="1007"/>
      <c r="F89" s="1007"/>
      <c r="G89" s="1007"/>
      <c r="H89" s="1007"/>
      <c r="I89" s="1007"/>
      <c r="J89" s="1007"/>
      <c r="K89" s="1007"/>
      <c r="L89" s="1007"/>
      <c r="M89" s="1007"/>
      <c r="N89" s="1007"/>
      <c r="O89" s="1007"/>
      <c r="P89" s="1007"/>
      <c r="Q89" s="1007"/>
      <c r="R89" s="1007"/>
      <c r="S89" s="1007"/>
      <c r="T89" s="1007"/>
      <c r="U89" s="1007"/>
      <c r="V89" s="1007"/>
      <c r="W89" s="1007"/>
    </row>
    <row r="90" spans="5:23" ht="12.75">
      <c r="E90" s="1007"/>
      <c r="F90" s="1007"/>
      <c r="G90" s="1007"/>
      <c r="H90" s="1007"/>
      <c r="I90" s="1007"/>
      <c r="J90" s="1007"/>
      <c r="K90" s="1007"/>
      <c r="L90" s="1007"/>
      <c r="M90" s="1007"/>
      <c r="N90" s="1007"/>
      <c r="O90" s="1007"/>
      <c r="P90" s="1007"/>
      <c r="Q90" s="1007"/>
      <c r="R90" s="1007"/>
      <c r="S90" s="1007"/>
      <c r="T90" s="1007"/>
      <c r="U90" s="1007"/>
      <c r="V90" s="1007"/>
      <c r="W90" s="1007"/>
    </row>
    <row r="91" spans="5:23" ht="12.75">
      <c r="E91" s="1007"/>
      <c r="F91" s="1007"/>
      <c r="G91" s="1007"/>
      <c r="H91" s="1007"/>
      <c r="I91" s="1007"/>
      <c r="J91" s="1007"/>
      <c r="K91" s="1007"/>
      <c r="L91" s="1007"/>
      <c r="M91" s="1007"/>
      <c r="N91" s="1007"/>
      <c r="O91" s="1007"/>
      <c r="P91" s="1007"/>
      <c r="Q91" s="1007"/>
      <c r="R91" s="1007"/>
      <c r="S91" s="1007"/>
      <c r="T91" s="1007"/>
      <c r="U91" s="1007"/>
      <c r="V91" s="1007"/>
      <c r="W91" s="1007"/>
    </row>
    <row r="92" spans="5:23" ht="12.75">
      <c r="E92" s="1007"/>
      <c r="F92" s="1007"/>
      <c r="G92" s="1007"/>
      <c r="H92" s="1007"/>
      <c r="I92" s="1007"/>
      <c r="J92" s="1007"/>
      <c r="K92" s="1007"/>
      <c r="L92" s="1007"/>
      <c r="M92" s="1007"/>
      <c r="N92" s="1007"/>
      <c r="O92" s="1007"/>
      <c r="P92" s="1007"/>
      <c r="Q92" s="1007"/>
      <c r="R92" s="1007"/>
      <c r="S92" s="1007"/>
      <c r="T92" s="1007"/>
      <c r="U92" s="1007"/>
      <c r="V92" s="1007"/>
      <c r="W92" s="1007"/>
    </row>
    <row r="93" spans="5:23" ht="12.75"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7"/>
      <c r="S93" s="1007"/>
      <c r="T93" s="1007"/>
      <c r="U93" s="1007"/>
      <c r="V93" s="1007"/>
      <c r="W93" s="1007"/>
    </row>
    <row r="94" spans="5:23" ht="12.75">
      <c r="E94" s="1007"/>
      <c r="F94" s="1007"/>
      <c r="G94" s="1007"/>
      <c r="H94" s="1007"/>
      <c r="I94" s="1007"/>
      <c r="J94" s="1007"/>
      <c r="K94" s="1007"/>
      <c r="L94" s="1007"/>
      <c r="M94" s="1007"/>
      <c r="N94" s="1007"/>
      <c r="O94" s="1007"/>
      <c r="P94" s="1007"/>
      <c r="Q94" s="1007"/>
      <c r="R94" s="1007"/>
      <c r="S94" s="1007"/>
      <c r="T94" s="1007"/>
      <c r="U94" s="1007"/>
      <c r="V94" s="1007"/>
      <c r="W94" s="1007"/>
    </row>
    <row r="95" spans="5:23" ht="12.75">
      <c r="E95" s="1007"/>
      <c r="F95" s="1007"/>
      <c r="G95" s="1007"/>
      <c r="H95" s="1007"/>
      <c r="I95" s="1007"/>
      <c r="J95" s="1007"/>
      <c r="K95" s="1007"/>
      <c r="L95" s="1007"/>
      <c r="M95" s="1007"/>
      <c r="N95" s="1007"/>
      <c r="O95" s="1007"/>
      <c r="P95" s="1007"/>
      <c r="Q95" s="1007"/>
      <c r="R95" s="1007"/>
      <c r="S95" s="1007"/>
      <c r="T95" s="1007"/>
      <c r="U95" s="1007"/>
      <c r="V95" s="1007"/>
      <c r="W95" s="1007"/>
    </row>
    <row r="96" spans="5:23" ht="12.75">
      <c r="E96" s="1007"/>
      <c r="F96" s="1007"/>
      <c r="G96" s="1007"/>
      <c r="H96" s="1007"/>
      <c r="I96" s="1007"/>
      <c r="J96" s="1007"/>
      <c r="K96" s="1007"/>
      <c r="L96" s="1007"/>
      <c r="M96" s="1007"/>
      <c r="N96" s="1007"/>
      <c r="O96" s="1007"/>
      <c r="P96" s="1007"/>
      <c r="Q96" s="1007"/>
      <c r="R96" s="1007"/>
      <c r="S96" s="1007"/>
      <c r="T96" s="1007"/>
      <c r="U96" s="1007"/>
      <c r="V96" s="1007"/>
      <c r="W96" s="1007"/>
    </row>
    <row r="97" spans="5:23" ht="12.75">
      <c r="E97" s="1007"/>
      <c r="F97" s="1007"/>
      <c r="G97" s="1007"/>
      <c r="H97" s="1007"/>
      <c r="I97" s="1007"/>
      <c r="J97" s="1007"/>
      <c r="K97" s="1007"/>
      <c r="L97" s="1007"/>
      <c r="M97" s="1007"/>
      <c r="N97" s="1007"/>
      <c r="O97" s="1007"/>
      <c r="P97" s="1007"/>
      <c r="Q97" s="1007"/>
      <c r="R97" s="1007"/>
      <c r="S97" s="1007"/>
      <c r="T97" s="1007"/>
      <c r="U97" s="1007"/>
      <c r="V97" s="1007"/>
      <c r="W97" s="1007"/>
    </row>
    <row r="98" spans="5:23" ht="12.75">
      <c r="E98" s="1007"/>
      <c r="F98" s="1007"/>
      <c r="G98" s="1007"/>
      <c r="H98" s="1007"/>
      <c r="I98" s="1007"/>
      <c r="J98" s="1007"/>
      <c r="K98" s="1007"/>
      <c r="L98" s="1007"/>
      <c r="M98" s="1007"/>
      <c r="N98" s="1007"/>
      <c r="O98" s="1007"/>
      <c r="P98" s="1007"/>
      <c r="Q98" s="1007"/>
      <c r="R98" s="1007"/>
      <c r="S98" s="1007"/>
      <c r="T98" s="1007"/>
      <c r="U98" s="1007"/>
      <c r="V98" s="1007"/>
      <c r="W98" s="1007"/>
    </row>
    <row r="99" spans="5:23" ht="12.75">
      <c r="E99" s="1007"/>
      <c r="F99" s="1007"/>
      <c r="G99" s="1007"/>
      <c r="H99" s="1007"/>
      <c r="I99" s="1007"/>
      <c r="J99" s="1007"/>
      <c r="K99" s="1007"/>
      <c r="L99" s="1007"/>
      <c r="M99" s="1007"/>
      <c r="N99" s="1007"/>
      <c r="O99" s="1007"/>
      <c r="P99" s="1007"/>
      <c r="Q99" s="1007"/>
      <c r="R99" s="1007"/>
      <c r="S99" s="1007"/>
      <c r="T99" s="1007"/>
      <c r="U99" s="1007"/>
      <c r="V99" s="1007"/>
      <c r="W99" s="1007"/>
    </row>
    <row r="100" spans="5:23" ht="12.75">
      <c r="E100" s="1007"/>
      <c r="F100" s="1007"/>
      <c r="G100" s="1007"/>
      <c r="H100" s="1007"/>
      <c r="I100" s="1007"/>
      <c r="J100" s="1007"/>
      <c r="K100" s="1007"/>
      <c r="L100" s="1007"/>
      <c r="M100" s="1007"/>
      <c r="N100" s="1007"/>
      <c r="O100" s="1007"/>
      <c r="P100" s="1007"/>
      <c r="Q100" s="1007"/>
      <c r="R100" s="1007"/>
      <c r="S100" s="1007"/>
      <c r="T100" s="1007"/>
      <c r="U100" s="1007"/>
      <c r="V100" s="1007"/>
      <c r="W100" s="1007"/>
    </row>
    <row r="101" spans="5:23" ht="12.75">
      <c r="E101" s="1007"/>
      <c r="F101" s="1007"/>
      <c r="G101" s="1007"/>
      <c r="H101" s="1007"/>
      <c r="I101" s="1007"/>
      <c r="J101" s="1007"/>
      <c r="K101" s="1007"/>
      <c r="L101" s="1007"/>
      <c r="M101" s="1007"/>
      <c r="N101" s="1007"/>
      <c r="O101" s="1007"/>
      <c r="P101" s="1007"/>
      <c r="Q101" s="1007"/>
      <c r="R101" s="1007"/>
      <c r="S101" s="1007"/>
      <c r="T101" s="1007"/>
      <c r="U101" s="1007"/>
      <c r="V101" s="1007"/>
      <c r="W101" s="1007"/>
    </row>
    <row r="102" spans="5:23" ht="12.75">
      <c r="E102" s="1007"/>
      <c r="F102" s="1007"/>
      <c r="G102" s="1007"/>
      <c r="H102" s="1007"/>
      <c r="I102" s="1007"/>
      <c r="J102" s="1007"/>
      <c r="K102" s="1007"/>
      <c r="L102" s="1007"/>
      <c r="M102" s="1007"/>
      <c r="N102" s="1007"/>
      <c r="O102" s="1007"/>
      <c r="P102" s="1007"/>
      <c r="Q102" s="1007"/>
      <c r="R102" s="1007"/>
      <c r="S102" s="1007"/>
      <c r="T102" s="1007"/>
      <c r="U102" s="1007"/>
      <c r="V102" s="1007"/>
      <c r="W102" s="1007"/>
    </row>
    <row r="103" spans="5:23" ht="12.75">
      <c r="E103" s="1007"/>
      <c r="F103" s="1007"/>
      <c r="G103" s="1007"/>
      <c r="H103" s="1007"/>
      <c r="I103" s="1007"/>
      <c r="J103" s="1007"/>
      <c r="K103" s="1007"/>
      <c r="L103" s="1007"/>
      <c r="M103" s="1007"/>
      <c r="N103" s="1007"/>
      <c r="O103" s="1007"/>
      <c r="P103" s="1007"/>
      <c r="Q103" s="1007"/>
      <c r="R103" s="1007"/>
      <c r="S103" s="1007"/>
      <c r="T103" s="1007"/>
      <c r="U103" s="1007"/>
      <c r="V103" s="1007"/>
      <c r="W103" s="1007"/>
    </row>
    <row r="104" spans="5:23" ht="12.75"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  <c r="V104" s="1007"/>
      <c r="W104" s="1007"/>
    </row>
    <row r="105" spans="5:23" ht="12.75">
      <c r="E105" s="1007"/>
      <c r="F105" s="1007"/>
      <c r="G105" s="1007"/>
      <c r="H105" s="1007"/>
      <c r="I105" s="1007"/>
      <c r="J105" s="1007"/>
      <c r="K105" s="1007"/>
      <c r="L105" s="1007"/>
      <c r="M105" s="1007"/>
      <c r="N105" s="1007"/>
      <c r="O105" s="1007"/>
      <c r="P105" s="1007"/>
      <c r="Q105" s="1007"/>
      <c r="R105" s="1007"/>
      <c r="S105" s="1007"/>
      <c r="T105" s="1007"/>
      <c r="U105" s="1007"/>
      <c r="V105" s="1007"/>
      <c r="W105" s="1007"/>
    </row>
    <row r="106" spans="5:23" ht="12.75">
      <c r="E106" s="1007"/>
      <c r="F106" s="1007"/>
      <c r="G106" s="1007"/>
      <c r="H106" s="1007"/>
      <c r="I106" s="1007"/>
      <c r="J106" s="1007"/>
      <c r="K106" s="1007"/>
      <c r="L106" s="1007"/>
      <c r="M106" s="1007"/>
      <c r="N106" s="1007"/>
      <c r="O106" s="1007"/>
      <c r="P106" s="1007"/>
      <c r="Q106" s="1007"/>
      <c r="R106" s="1007"/>
      <c r="S106" s="1007"/>
      <c r="T106" s="1007"/>
      <c r="U106" s="1007"/>
      <c r="V106" s="1007"/>
      <c r="W106" s="1007"/>
    </row>
    <row r="107" spans="5:23" ht="12.75"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1007"/>
      <c r="O107" s="1007"/>
      <c r="P107" s="1007"/>
      <c r="Q107" s="1007"/>
      <c r="R107" s="1007"/>
      <c r="S107" s="1007"/>
      <c r="T107" s="1007"/>
      <c r="U107" s="1007"/>
      <c r="V107" s="1007"/>
      <c r="W107" s="1007"/>
    </row>
    <row r="108" spans="5:23" ht="12.75">
      <c r="E108" s="1007"/>
      <c r="F108" s="1007"/>
      <c r="G108" s="1007"/>
      <c r="H108" s="1007"/>
      <c r="I108" s="1007"/>
      <c r="J108" s="1007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1007"/>
      <c r="U108" s="1007"/>
      <c r="V108" s="1007"/>
      <c r="W108" s="1007"/>
    </row>
    <row r="109" spans="5:23" ht="12.75"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7"/>
      <c r="P109" s="1007"/>
      <c r="Q109" s="1007"/>
      <c r="R109" s="1007"/>
      <c r="S109" s="1007"/>
      <c r="T109" s="1007"/>
      <c r="U109" s="1007"/>
      <c r="V109" s="1007"/>
      <c r="W109" s="1007"/>
    </row>
    <row r="110" spans="5:23" ht="12.75"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  <c r="O110" s="1007"/>
      <c r="P110" s="1007"/>
      <c r="Q110" s="1007"/>
      <c r="R110" s="1007"/>
      <c r="S110" s="1007"/>
      <c r="T110" s="1007"/>
      <c r="U110" s="1007"/>
      <c r="V110" s="1007"/>
      <c r="W110" s="1007"/>
    </row>
    <row r="111" spans="5:23" ht="12.75">
      <c r="E111" s="1007"/>
      <c r="F111" s="1007"/>
      <c r="G111" s="1007"/>
      <c r="H111" s="1007"/>
      <c r="I111" s="1007"/>
      <c r="J111" s="1007"/>
      <c r="K111" s="1007"/>
      <c r="L111" s="1007"/>
      <c r="M111" s="1007"/>
      <c r="N111" s="1007"/>
      <c r="O111" s="1007"/>
      <c r="P111" s="1007"/>
      <c r="Q111" s="1007"/>
      <c r="R111" s="1007"/>
      <c r="S111" s="1007"/>
      <c r="T111" s="1007"/>
      <c r="U111" s="1007"/>
      <c r="V111" s="1007"/>
      <c r="W111" s="1007"/>
    </row>
    <row r="112" spans="5:23" ht="12.75">
      <c r="E112" s="1007"/>
      <c r="F112" s="1007"/>
      <c r="G112" s="1007"/>
      <c r="H112" s="1007"/>
      <c r="I112" s="1007"/>
      <c r="J112" s="1007"/>
      <c r="K112" s="1007"/>
      <c r="L112" s="1007"/>
      <c r="M112" s="1007"/>
      <c r="N112" s="1007"/>
      <c r="O112" s="1007"/>
      <c r="P112" s="1007"/>
      <c r="Q112" s="1007"/>
      <c r="R112" s="1007"/>
      <c r="S112" s="1007"/>
      <c r="T112" s="1007"/>
      <c r="U112" s="1007"/>
      <c r="V112" s="1007"/>
      <c r="W112" s="1007"/>
    </row>
    <row r="113" spans="5:23" ht="12.75"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7"/>
      <c r="O113" s="1007"/>
      <c r="P113" s="1007"/>
      <c r="Q113" s="1007"/>
      <c r="R113" s="1007"/>
      <c r="S113" s="1007"/>
      <c r="T113" s="1007"/>
      <c r="U113" s="1007"/>
      <c r="V113" s="1007"/>
      <c r="W113" s="1007"/>
    </row>
    <row r="114" spans="5:23" ht="12.75">
      <c r="E114" s="1007"/>
      <c r="F114" s="1007"/>
      <c r="G114" s="1007"/>
      <c r="H114" s="1007"/>
      <c r="I114" s="1007"/>
      <c r="J114" s="1007"/>
      <c r="K114" s="1007"/>
      <c r="L114" s="1007"/>
      <c r="M114" s="1007"/>
      <c r="N114" s="1007"/>
      <c r="O114" s="1007"/>
      <c r="P114" s="1007"/>
      <c r="Q114" s="1007"/>
      <c r="R114" s="1007"/>
      <c r="S114" s="1007"/>
      <c r="T114" s="1007"/>
      <c r="U114" s="1007"/>
      <c r="V114" s="1007"/>
      <c r="W114" s="1007"/>
    </row>
    <row r="115" spans="5:23" ht="12.75"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7"/>
      <c r="O115" s="1007"/>
      <c r="P115" s="1007"/>
      <c r="Q115" s="1007"/>
      <c r="R115" s="1007"/>
      <c r="S115" s="1007"/>
      <c r="T115" s="1007"/>
      <c r="U115" s="1007"/>
      <c r="V115" s="1007"/>
      <c r="W115" s="1007"/>
    </row>
    <row r="116" spans="5:23" ht="12.75">
      <c r="E116" s="1007"/>
      <c r="F116" s="1007"/>
      <c r="G116" s="1007"/>
      <c r="H116" s="1007"/>
      <c r="I116" s="1007"/>
      <c r="J116" s="1007"/>
      <c r="K116" s="1007"/>
      <c r="L116" s="1007"/>
      <c r="M116" s="1007"/>
      <c r="N116" s="1007"/>
      <c r="O116" s="1007"/>
      <c r="P116" s="1007"/>
      <c r="Q116" s="1007"/>
      <c r="R116" s="1007"/>
      <c r="S116" s="1007"/>
      <c r="T116" s="1007"/>
      <c r="U116" s="1007"/>
      <c r="V116" s="1007"/>
      <c r="W116" s="1007"/>
    </row>
    <row r="117" spans="5:23" ht="12.75"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  <c r="V117" s="1007"/>
      <c r="W117" s="1007"/>
    </row>
    <row r="118" spans="5:23" ht="12.75"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  <c r="V118" s="1007"/>
      <c r="W118" s="1007"/>
    </row>
    <row r="119" spans="5:23" ht="12.75">
      <c r="E119" s="1007"/>
      <c r="F119" s="1007"/>
      <c r="G119" s="1007"/>
      <c r="H119" s="1007"/>
      <c r="I119" s="1007"/>
      <c r="J119" s="1007"/>
      <c r="K119" s="1007"/>
      <c r="L119" s="1007"/>
      <c r="M119" s="1007"/>
      <c r="N119" s="1007"/>
      <c r="O119" s="1007"/>
      <c r="P119" s="1007"/>
      <c r="Q119" s="1007"/>
      <c r="R119" s="1007"/>
      <c r="S119" s="1007"/>
      <c r="T119" s="1007"/>
      <c r="U119" s="1007"/>
      <c r="V119" s="1007"/>
      <c r="W119" s="1007"/>
    </row>
    <row r="120" spans="5:23" ht="12.75">
      <c r="E120" s="1007"/>
      <c r="F120" s="1007"/>
      <c r="G120" s="1007"/>
      <c r="H120" s="1007"/>
      <c r="I120" s="1007"/>
      <c r="J120" s="1007"/>
      <c r="K120" s="1007"/>
      <c r="L120" s="1007"/>
      <c r="M120" s="1007"/>
      <c r="N120" s="1007"/>
      <c r="O120" s="1007"/>
      <c r="P120" s="1007"/>
      <c r="Q120" s="1007"/>
      <c r="R120" s="1007"/>
      <c r="S120" s="1007"/>
      <c r="T120" s="1007"/>
      <c r="U120" s="1007"/>
      <c r="V120" s="1007"/>
      <c r="W120" s="1007"/>
    </row>
    <row r="121" spans="5:23" ht="12.75">
      <c r="E121" s="1007"/>
      <c r="F121" s="1007"/>
      <c r="G121" s="1007"/>
      <c r="H121" s="1007"/>
      <c r="I121" s="1007"/>
      <c r="J121" s="1007"/>
      <c r="K121" s="1007"/>
      <c r="L121" s="1007"/>
      <c r="M121" s="1007"/>
      <c r="N121" s="1007"/>
      <c r="O121" s="1007"/>
      <c r="P121" s="1007"/>
      <c r="Q121" s="1007"/>
      <c r="R121" s="1007"/>
      <c r="S121" s="1007"/>
      <c r="T121" s="1007"/>
      <c r="U121" s="1007"/>
      <c r="V121" s="1007"/>
      <c r="W121" s="1007"/>
    </row>
    <row r="122" spans="5:23" ht="12.75">
      <c r="E122" s="1007"/>
      <c r="F122" s="1007"/>
      <c r="G122" s="1007"/>
      <c r="H122" s="1007"/>
      <c r="I122" s="1007"/>
      <c r="J122" s="1007"/>
      <c r="K122" s="1007"/>
      <c r="L122" s="1007"/>
      <c r="M122" s="1007"/>
      <c r="N122" s="1007"/>
      <c r="O122" s="1007"/>
      <c r="P122" s="1007"/>
      <c r="Q122" s="1007"/>
      <c r="R122" s="1007"/>
      <c r="S122" s="1007"/>
      <c r="T122" s="1007"/>
      <c r="U122" s="1007"/>
      <c r="V122" s="1007"/>
      <c r="W122" s="1007"/>
    </row>
    <row r="123" spans="5:23" ht="12.75">
      <c r="E123" s="1007"/>
      <c r="F123" s="1007"/>
      <c r="G123" s="1007"/>
      <c r="H123" s="1007"/>
      <c r="I123" s="1007"/>
      <c r="J123" s="1007"/>
      <c r="K123" s="1007"/>
      <c r="L123" s="1007"/>
      <c r="M123" s="1007"/>
      <c r="N123" s="1007"/>
      <c r="O123" s="1007"/>
      <c r="P123" s="1007"/>
      <c r="Q123" s="1007"/>
      <c r="R123" s="1007"/>
      <c r="S123" s="1007"/>
      <c r="T123" s="1007"/>
      <c r="U123" s="1007"/>
      <c r="V123" s="1007"/>
      <c r="W123" s="1007"/>
    </row>
    <row r="124" spans="5:23" ht="12.75">
      <c r="E124" s="1007"/>
      <c r="F124" s="1007"/>
      <c r="G124" s="1007"/>
      <c r="H124" s="1007"/>
      <c r="I124" s="1007"/>
      <c r="J124" s="1007"/>
      <c r="K124" s="1007"/>
      <c r="L124" s="1007"/>
      <c r="M124" s="1007"/>
      <c r="N124" s="1007"/>
      <c r="O124" s="1007"/>
      <c r="P124" s="1007"/>
      <c r="Q124" s="1007"/>
      <c r="R124" s="1007"/>
      <c r="S124" s="1007"/>
      <c r="T124" s="1007"/>
      <c r="U124" s="1007"/>
      <c r="V124" s="1007"/>
      <c r="W124" s="1007"/>
    </row>
  </sheetData>
  <sheetProtection/>
  <mergeCells count="14">
    <mergeCell ref="I12:J12"/>
    <mergeCell ref="O12:P12"/>
    <mergeCell ref="I13:J13"/>
    <mergeCell ref="O13:P13"/>
    <mergeCell ref="I14:J14"/>
    <mergeCell ref="O14:P14"/>
    <mergeCell ref="A4:X4"/>
    <mergeCell ref="F9:R9"/>
    <mergeCell ref="S9:T9"/>
    <mergeCell ref="F10:K10"/>
    <mergeCell ref="N10:R10"/>
    <mergeCell ref="F11:H11"/>
    <mergeCell ref="I11:J11"/>
    <mergeCell ref="O11:P11"/>
  </mergeCells>
  <printOptions horizontalCentered="1" verticalCentered="1"/>
  <pageMargins left="0.07874015748031496" right="0.07874015748031496" top="0.33" bottom="0.31" header="0.21" footer="0.15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4"/>
  <sheetViews>
    <sheetView zoomScale="110" zoomScaleNormal="110" zoomScalePageLayoutView="0" workbookViewId="0" topLeftCell="G1">
      <selection activeCell="R2" sqref="R2"/>
    </sheetView>
  </sheetViews>
  <sheetFormatPr defaultColWidth="9.00390625" defaultRowHeight="12.75"/>
  <cols>
    <col min="1" max="1" width="4.25390625" style="0" customWidth="1"/>
    <col min="2" max="2" width="43.75390625" style="0" customWidth="1"/>
    <col min="3" max="18" width="9.75390625" style="0" customWidth="1"/>
    <col min="19" max="20" width="7.625" style="0" customWidth="1"/>
  </cols>
  <sheetData>
    <row r="1" spans="17:18" ht="12.75">
      <c r="Q1" s="1612"/>
      <c r="R1" s="2011" t="s">
        <v>1261</v>
      </c>
    </row>
    <row r="2" spans="1:2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011" t="s">
        <v>71</v>
      </c>
      <c r="S2" s="54"/>
      <c r="T2" s="54"/>
    </row>
    <row r="3" spans="1:20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2.5" customHeight="1">
      <c r="A4" s="2275" t="s">
        <v>1219</v>
      </c>
      <c r="B4" s="2275"/>
      <c r="C4" s="2275"/>
      <c r="D4" s="2275"/>
      <c r="E4" s="2275"/>
      <c r="F4" s="2275"/>
      <c r="G4" s="2275"/>
      <c r="H4" s="2275"/>
      <c r="I4" s="2275"/>
      <c r="J4" s="2275"/>
      <c r="K4" s="2275"/>
      <c r="L4" s="2275"/>
      <c r="M4" s="2275"/>
      <c r="N4" s="2275"/>
      <c r="O4" s="2275"/>
      <c r="P4" s="2275"/>
      <c r="Q4" s="2275"/>
      <c r="R4" s="2275"/>
      <c r="S4" s="330"/>
      <c r="T4" s="330"/>
    </row>
    <row r="5" spans="1:20" ht="22.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1:20" ht="22.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0" ht="12.75">
      <c r="A7" s="54"/>
      <c r="B7" s="2275"/>
      <c r="C7" s="2275"/>
      <c r="D7" s="2275"/>
      <c r="E7" s="2275"/>
      <c r="F7" s="2275"/>
      <c r="G7" s="2275"/>
      <c r="H7" s="2275"/>
      <c r="I7" s="2275"/>
      <c r="J7" s="2275"/>
      <c r="K7" s="2275"/>
      <c r="L7" s="2275"/>
      <c r="M7" s="2275"/>
      <c r="N7" s="2275"/>
      <c r="O7" s="2275"/>
      <c r="P7" s="2275"/>
      <c r="Q7" s="2275"/>
      <c r="R7" s="2275"/>
      <c r="S7" s="330"/>
      <c r="T7" s="330"/>
    </row>
    <row r="8" spans="1:20" ht="13.5" thickBo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789" t="s">
        <v>1011</v>
      </c>
      <c r="S8" s="54"/>
      <c r="T8" s="54"/>
    </row>
    <row r="9" spans="1:20" ht="13.5" thickBot="1">
      <c r="A9" s="1715"/>
      <c r="B9" s="1716"/>
      <c r="C9" s="2276" t="s">
        <v>580</v>
      </c>
      <c r="D9" s="2276"/>
      <c r="E9" s="2276"/>
      <c r="F9" s="2276"/>
      <c r="G9" s="2276"/>
      <c r="H9" s="2276"/>
      <c r="I9" s="2276"/>
      <c r="J9" s="2276"/>
      <c r="K9" s="2276"/>
      <c r="L9" s="2276"/>
      <c r="M9" s="2276"/>
      <c r="N9" s="2276"/>
      <c r="O9" s="2276"/>
      <c r="P9" s="2276"/>
      <c r="Q9" s="2276"/>
      <c r="R9" s="2277"/>
      <c r="S9" s="765"/>
      <c r="T9" s="765"/>
    </row>
    <row r="10" spans="1:20" ht="20.25" customHeight="1">
      <c r="A10" s="1717"/>
      <c r="B10" s="1718"/>
      <c r="C10" s="2278" t="s">
        <v>922</v>
      </c>
      <c r="D10" s="2278"/>
      <c r="E10" s="2278"/>
      <c r="F10" s="2278"/>
      <c r="G10" s="2278"/>
      <c r="H10" s="2278"/>
      <c r="I10" s="2278"/>
      <c r="J10" s="2278"/>
      <c r="K10" s="2278"/>
      <c r="L10" s="1719"/>
      <c r="M10" s="2278" t="s">
        <v>581</v>
      </c>
      <c r="N10" s="2278"/>
      <c r="O10" s="2279"/>
      <c r="P10" s="2279"/>
      <c r="Q10" s="2279"/>
      <c r="R10" s="2280"/>
      <c r="S10" s="765"/>
      <c r="T10" s="765"/>
    </row>
    <row r="11" spans="1:20" ht="47.25" customHeight="1">
      <c r="A11" s="1720" t="s">
        <v>530</v>
      </c>
      <c r="B11" s="1721" t="s">
        <v>582</v>
      </c>
      <c r="C11" s="2271" t="s">
        <v>1012</v>
      </c>
      <c r="D11" s="2267"/>
      <c r="E11" s="2266" t="s">
        <v>923</v>
      </c>
      <c r="F11" s="2267"/>
      <c r="G11" s="2266" t="s">
        <v>583</v>
      </c>
      <c r="H11" s="2267"/>
      <c r="I11" s="2266" t="s">
        <v>584</v>
      </c>
      <c r="J11" s="2268"/>
      <c r="K11" s="2269" t="s">
        <v>585</v>
      </c>
      <c r="L11" s="2270"/>
      <c r="M11" s="2271" t="s">
        <v>586</v>
      </c>
      <c r="N11" s="2268"/>
      <c r="O11" s="2272" t="s">
        <v>587</v>
      </c>
      <c r="P11" s="2273"/>
      <c r="Q11" s="2272" t="s">
        <v>57</v>
      </c>
      <c r="R11" s="2274"/>
      <c r="S11" s="769"/>
      <c r="T11" s="766"/>
    </row>
    <row r="12" spans="1:20" ht="29.25" customHeight="1">
      <c r="A12" s="1722"/>
      <c r="B12" s="1721"/>
      <c r="C12" s="1723" t="s">
        <v>193</v>
      </c>
      <c r="D12" s="1725" t="s">
        <v>302</v>
      </c>
      <c r="E12" s="1723" t="s">
        <v>193</v>
      </c>
      <c r="F12" s="1725" t="s">
        <v>302</v>
      </c>
      <c r="G12" s="1723" t="s">
        <v>193</v>
      </c>
      <c r="H12" s="1725" t="s">
        <v>302</v>
      </c>
      <c r="I12" s="1723" t="s">
        <v>193</v>
      </c>
      <c r="J12" s="1724" t="s">
        <v>302</v>
      </c>
      <c r="K12" s="1726" t="s">
        <v>193</v>
      </c>
      <c r="L12" s="1727" t="s">
        <v>302</v>
      </c>
      <c r="M12" s="1726" t="s">
        <v>193</v>
      </c>
      <c r="N12" s="1724" t="s">
        <v>302</v>
      </c>
      <c r="O12" s="1725" t="s">
        <v>193</v>
      </c>
      <c r="P12" s="1724" t="s">
        <v>302</v>
      </c>
      <c r="Q12" s="1725" t="s">
        <v>193</v>
      </c>
      <c r="R12" s="1727" t="s">
        <v>302</v>
      </c>
      <c r="S12" s="769"/>
      <c r="T12" s="766"/>
    </row>
    <row r="13" spans="1:20" ht="12.75">
      <c r="A13" s="1728">
        <v>1</v>
      </c>
      <c r="B13" s="1729">
        <v>2</v>
      </c>
      <c r="C13" s="1730">
        <v>3</v>
      </c>
      <c r="D13" s="1730">
        <v>4</v>
      </c>
      <c r="E13" s="1731">
        <v>5</v>
      </c>
      <c r="F13" s="1731">
        <v>6</v>
      </c>
      <c r="G13" s="1731">
        <v>7</v>
      </c>
      <c r="H13" s="1731">
        <v>8</v>
      </c>
      <c r="I13" s="1731">
        <v>9</v>
      </c>
      <c r="J13" s="1732">
        <v>10</v>
      </c>
      <c r="K13" s="1728">
        <v>11</v>
      </c>
      <c r="L13" s="1729">
        <v>12</v>
      </c>
      <c r="M13" s="1733">
        <v>13</v>
      </c>
      <c r="N13" s="1734">
        <v>14</v>
      </c>
      <c r="O13" s="1731">
        <v>15</v>
      </c>
      <c r="P13" s="1732">
        <v>16</v>
      </c>
      <c r="Q13" s="1732">
        <v>17</v>
      </c>
      <c r="R13" s="1729">
        <v>18</v>
      </c>
      <c r="S13" s="767"/>
      <c r="T13" s="767"/>
    </row>
    <row r="14" spans="1:20" ht="12.75">
      <c r="A14" s="1735"/>
      <c r="B14" s="1736"/>
      <c r="C14" s="1737"/>
      <c r="D14" s="1738"/>
      <c r="E14" s="1739"/>
      <c r="F14" s="1739"/>
      <c r="G14" s="1739"/>
      <c r="H14" s="1739"/>
      <c r="I14" s="1739"/>
      <c r="J14" s="1740"/>
      <c r="K14" s="1735"/>
      <c r="L14" s="1741"/>
      <c r="M14" s="1742"/>
      <c r="N14" s="767"/>
      <c r="O14" s="1739"/>
      <c r="P14" s="1740"/>
      <c r="Q14" s="1740"/>
      <c r="R14" s="1741"/>
      <c r="S14" s="767"/>
      <c r="T14" s="767"/>
    </row>
    <row r="15" spans="1:20" ht="15" customHeight="1">
      <c r="A15" s="1735" t="s">
        <v>482</v>
      </c>
      <c r="B15" s="1743" t="s">
        <v>368</v>
      </c>
      <c r="C15" s="1744">
        <v>25608</v>
      </c>
      <c r="D15" s="1744">
        <f>17861*1.27</f>
        <v>22683.47</v>
      </c>
      <c r="E15" s="1745">
        <v>7407</v>
      </c>
      <c r="F15" s="1745">
        <f>6193*1.27</f>
        <v>7865.11</v>
      </c>
      <c r="G15" s="1745">
        <v>4039</v>
      </c>
      <c r="H15" s="1745">
        <f>3342*1.27</f>
        <v>4244.34</v>
      </c>
      <c r="I15" s="1745">
        <v>2666</v>
      </c>
      <c r="J15" s="1746">
        <f>(1963+102)*1.27</f>
        <v>2622.55</v>
      </c>
      <c r="K15" s="1747">
        <f>C15+E15+G15+I15</f>
        <v>39720</v>
      </c>
      <c r="L15" s="1748">
        <f>D15+F15+H15+J15</f>
        <v>37415.47</v>
      </c>
      <c r="M15" s="1749"/>
      <c r="N15" s="1750"/>
      <c r="O15" s="1745"/>
      <c r="P15" s="1746"/>
      <c r="Q15" s="1746">
        <v>32987</v>
      </c>
      <c r="R15" s="1751">
        <f>25242*1.21</f>
        <v>30542.82</v>
      </c>
      <c r="S15" s="768"/>
      <c r="T15" s="768"/>
    </row>
    <row r="16" spans="1:20" ht="12.75">
      <c r="A16" s="1752"/>
      <c r="B16" s="1753"/>
      <c r="C16" s="1754"/>
      <c r="D16" s="1755"/>
      <c r="E16" s="1745"/>
      <c r="F16" s="1745"/>
      <c r="G16" s="1745"/>
      <c r="H16" s="1745"/>
      <c r="I16" s="1745"/>
      <c r="J16" s="1746"/>
      <c r="K16" s="1747"/>
      <c r="L16" s="1748"/>
      <c r="M16" s="1749"/>
      <c r="N16" s="1750"/>
      <c r="O16" s="1745"/>
      <c r="P16" s="1746"/>
      <c r="Q16" s="1746"/>
      <c r="R16" s="1751"/>
      <c r="S16" s="768"/>
      <c r="T16" s="768"/>
    </row>
    <row r="17" spans="1:20" ht="19.5" customHeight="1">
      <c r="A17" s="2088"/>
      <c r="B17" s="2089" t="s">
        <v>195</v>
      </c>
      <c r="C17" s="2090">
        <f aca="true" t="shared" si="0" ref="C17:M17">SUM(C15:C16)</f>
        <v>25608</v>
      </c>
      <c r="D17" s="2090">
        <f>SUM(D15:D16)</f>
        <v>22683.47</v>
      </c>
      <c r="E17" s="2091">
        <f t="shared" si="0"/>
        <v>7407</v>
      </c>
      <c r="F17" s="2090">
        <f>SUM(F15:F16)</f>
        <v>7865.11</v>
      </c>
      <c r="G17" s="2091">
        <f t="shared" si="0"/>
        <v>4039</v>
      </c>
      <c r="H17" s="2091">
        <f>SUM(H15:H16)</f>
        <v>4244.34</v>
      </c>
      <c r="I17" s="2091">
        <f t="shared" si="0"/>
        <v>2666</v>
      </c>
      <c r="J17" s="2092">
        <f>SUM(J15:J16)</f>
        <v>2622.55</v>
      </c>
      <c r="K17" s="2093">
        <f t="shared" si="0"/>
        <v>39720</v>
      </c>
      <c r="L17" s="2094">
        <f>SUM(L15:L16)</f>
        <v>37415.47</v>
      </c>
      <c r="M17" s="2095">
        <f t="shared" si="0"/>
        <v>0</v>
      </c>
      <c r="N17" s="2096">
        <f>SUM(N15:N16)</f>
        <v>0</v>
      </c>
      <c r="O17" s="2091">
        <f>O15</f>
        <v>0</v>
      </c>
      <c r="P17" s="2092">
        <f>SUM(P15:P16)</f>
        <v>0</v>
      </c>
      <c r="Q17" s="2092">
        <f>SUM(Q15:Q16)</f>
        <v>32987</v>
      </c>
      <c r="R17" s="2094">
        <f>SUM(R15:R16)</f>
        <v>30542.82</v>
      </c>
      <c r="S17" s="769"/>
      <c r="T17" s="769"/>
    </row>
    <row r="18" spans="1:20" ht="12.75">
      <c r="A18" s="1752"/>
      <c r="B18" s="1756"/>
      <c r="C18" s="1757"/>
      <c r="D18" s="1757"/>
      <c r="E18" s="1758"/>
      <c r="F18" s="1758"/>
      <c r="G18" s="1758"/>
      <c r="H18" s="1758"/>
      <c r="I18" s="1758"/>
      <c r="J18" s="1759"/>
      <c r="K18" s="1760"/>
      <c r="L18" s="1751"/>
      <c r="M18" s="1761"/>
      <c r="N18" s="768"/>
      <c r="O18" s="1758"/>
      <c r="P18" s="1759"/>
      <c r="Q18" s="1759"/>
      <c r="R18" s="1751"/>
      <c r="S18" s="768"/>
      <c r="T18" s="768"/>
    </row>
    <row r="19" spans="1:20" ht="15" customHeight="1">
      <c r="A19" s="1735" t="s">
        <v>482</v>
      </c>
      <c r="B19" s="1743" t="s">
        <v>558</v>
      </c>
      <c r="C19" s="1757">
        <v>6242</v>
      </c>
      <c r="D19" s="1757">
        <f>4671*1.27</f>
        <v>5932.17</v>
      </c>
      <c r="E19" s="1758">
        <v>1291</v>
      </c>
      <c r="F19" s="1758">
        <f>1001*1.27</f>
        <v>1271.27</v>
      </c>
      <c r="G19" s="1758">
        <v>1164</v>
      </c>
      <c r="H19" s="1758">
        <f>993*1.27</f>
        <v>1261.1100000000001</v>
      </c>
      <c r="I19" s="1758">
        <v>334</v>
      </c>
      <c r="J19" s="1759">
        <f>268*1.27</f>
        <v>340.36</v>
      </c>
      <c r="K19" s="1747">
        <f>C19+E19+G19+I19</f>
        <v>9031</v>
      </c>
      <c r="L19" s="1748">
        <f>D19+F19+H19+J19</f>
        <v>8804.910000000002</v>
      </c>
      <c r="M19" s="1749"/>
      <c r="N19" s="1750"/>
      <c r="O19" s="1745"/>
      <c r="P19" s="1746"/>
      <c r="Q19" s="1746"/>
      <c r="R19" s="1751"/>
      <c r="S19" s="768"/>
      <c r="T19" s="768"/>
    </row>
    <row r="20" spans="1:20" ht="15" customHeight="1">
      <c r="A20" s="1735" t="s">
        <v>155</v>
      </c>
      <c r="B20" s="1743" t="s">
        <v>559</v>
      </c>
      <c r="C20" s="1757">
        <v>1449</v>
      </c>
      <c r="D20" s="1758">
        <f>1490*1.27</f>
        <v>1892.3</v>
      </c>
      <c r="E20" s="1758">
        <v>680</v>
      </c>
      <c r="F20" s="1758">
        <f>767*1.27</f>
        <v>974.09</v>
      </c>
      <c r="G20" s="1758">
        <v>329</v>
      </c>
      <c r="H20" s="1758">
        <f>380*1.27</f>
        <v>482.6</v>
      </c>
      <c r="I20" s="1758">
        <v>443</v>
      </c>
      <c r="J20" s="1759">
        <f>341*1.27</f>
        <v>433.07</v>
      </c>
      <c r="K20" s="1747">
        <f aca="true" t="shared" si="1" ref="K20:L29">C20+E20+G20+I20</f>
        <v>2901</v>
      </c>
      <c r="L20" s="1748">
        <f t="shared" si="1"/>
        <v>3782.06</v>
      </c>
      <c r="M20" s="1749"/>
      <c r="N20" s="1750"/>
      <c r="O20" s="1745"/>
      <c r="P20" s="1746"/>
      <c r="Q20" s="1746"/>
      <c r="R20" s="1751"/>
      <c r="S20" s="768"/>
      <c r="T20" s="768"/>
    </row>
    <row r="21" spans="1:20" ht="15" customHeight="1">
      <c r="A21" s="1735" t="s">
        <v>156</v>
      </c>
      <c r="B21" s="1743" t="s">
        <v>560</v>
      </c>
      <c r="C21" s="1757">
        <v>5877</v>
      </c>
      <c r="D21" s="1757">
        <f>4072*1.27</f>
        <v>5171.4400000000005</v>
      </c>
      <c r="E21" s="1758">
        <v>983</v>
      </c>
      <c r="F21" s="1758">
        <f>877*1.27</f>
        <v>1113.79</v>
      </c>
      <c r="G21" s="1758">
        <v>947</v>
      </c>
      <c r="H21" s="1758">
        <f>814*1.27</f>
        <v>1033.78</v>
      </c>
      <c r="I21" s="1758">
        <v>309</v>
      </c>
      <c r="J21" s="1759">
        <f>265*1.27</f>
        <v>336.55</v>
      </c>
      <c r="K21" s="1747">
        <f t="shared" si="1"/>
        <v>8116</v>
      </c>
      <c r="L21" s="1748">
        <f t="shared" si="1"/>
        <v>7655.56</v>
      </c>
      <c r="M21" s="1749"/>
      <c r="N21" s="1750"/>
      <c r="O21" s="1745"/>
      <c r="P21" s="1746"/>
      <c r="Q21" s="1746"/>
      <c r="R21" s="1751"/>
      <c r="S21" s="768"/>
      <c r="T21" s="768"/>
    </row>
    <row r="22" spans="1:20" ht="15" customHeight="1">
      <c r="A22" s="1735" t="s">
        <v>157</v>
      </c>
      <c r="B22" s="1743" t="s">
        <v>561</v>
      </c>
      <c r="C22" s="1757">
        <v>4135</v>
      </c>
      <c r="D22" s="1757">
        <f>2663*1.27</f>
        <v>3382.01</v>
      </c>
      <c r="E22" s="1758">
        <v>1123</v>
      </c>
      <c r="F22" s="1758">
        <f>816*1.27</f>
        <v>1036.32</v>
      </c>
      <c r="G22" s="1758">
        <v>1330</v>
      </c>
      <c r="H22" s="1758">
        <f>1106*1.27</f>
        <v>1404.6200000000001</v>
      </c>
      <c r="I22" s="1758">
        <v>335</v>
      </c>
      <c r="J22" s="1759">
        <f>267*1.27</f>
        <v>339.09000000000003</v>
      </c>
      <c r="K22" s="1747">
        <f t="shared" si="1"/>
        <v>6923</v>
      </c>
      <c r="L22" s="1748">
        <f t="shared" si="1"/>
        <v>6162.04</v>
      </c>
      <c r="M22" s="1749"/>
      <c r="N22" s="1750"/>
      <c r="O22" s="1745"/>
      <c r="P22" s="1746"/>
      <c r="Q22" s="1746"/>
      <c r="R22" s="1751"/>
      <c r="S22" s="768"/>
      <c r="T22" s="768"/>
    </row>
    <row r="23" spans="1:20" ht="15" customHeight="1">
      <c r="A23" s="1735" t="s">
        <v>158</v>
      </c>
      <c r="B23" s="1743" t="s">
        <v>562</v>
      </c>
      <c r="C23" s="1757">
        <v>7596</v>
      </c>
      <c r="D23" s="1757">
        <f>5457*1.27</f>
        <v>6930.39</v>
      </c>
      <c r="E23" s="1758">
        <v>3170</v>
      </c>
      <c r="F23" s="1758">
        <f>2409*1.27</f>
        <v>3059.43</v>
      </c>
      <c r="G23" s="1758">
        <v>1631</v>
      </c>
      <c r="H23" s="1758">
        <f>1390*1.27</f>
        <v>1765.3</v>
      </c>
      <c r="I23" s="1758">
        <v>437</v>
      </c>
      <c r="J23" s="1759">
        <f>393*1.27</f>
        <v>499.11</v>
      </c>
      <c r="K23" s="1747">
        <f t="shared" si="1"/>
        <v>12834</v>
      </c>
      <c r="L23" s="1748">
        <f t="shared" si="1"/>
        <v>12254.23</v>
      </c>
      <c r="M23" s="1749"/>
      <c r="N23" s="1750"/>
      <c r="O23" s="1745"/>
      <c r="P23" s="1746"/>
      <c r="Q23" s="1746"/>
      <c r="R23" s="1751"/>
      <c r="S23" s="768"/>
      <c r="T23" s="768"/>
    </row>
    <row r="24" spans="1:20" ht="15" customHeight="1">
      <c r="A24" s="1735" t="s">
        <v>159</v>
      </c>
      <c r="B24" s="1743" t="s">
        <v>563</v>
      </c>
      <c r="C24" s="1757">
        <v>2657</v>
      </c>
      <c r="D24" s="1757">
        <f>1821*1.27</f>
        <v>2312.67</v>
      </c>
      <c r="E24" s="1758">
        <v>1365</v>
      </c>
      <c r="F24" s="1758">
        <f>1046*1.27</f>
        <v>1328.42</v>
      </c>
      <c r="G24" s="1758">
        <v>974</v>
      </c>
      <c r="H24" s="1758">
        <f>686*1.27</f>
        <v>871.22</v>
      </c>
      <c r="I24" s="1758">
        <v>425</v>
      </c>
      <c r="J24" s="1759">
        <f>(275+50)*1.27</f>
        <v>412.75</v>
      </c>
      <c r="K24" s="1747">
        <f t="shared" si="1"/>
        <v>5421</v>
      </c>
      <c r="L24" s="1748">
        <f t="shared" si="1"/>
        <v>4925.06</v>
      </c>
      <c r="M24" s="1749"/>
      <c r="N24" s="1750"/>
      <c r="O24" s="1745"/>
      <c r="P24" s="1746"/>
      <c r="Q24" s="1746"/>
      <c r="R24" s="1751"/>
      <c r="S24" s="768"/>
      <c r="T24" s="768"/>
    </row>
    <row r="25" spans="1:20" ht="15" customHeight="1">
      <c r="A25" s="1735" t="s">
        <v>160</v>
      </c>
      <c r="B25" s="1743" t="s">
        <v>564</v>
      </c>
      <c r="C25" s="1757">
        <v>4336</v>
      </c>
      <c r="D25" s="1757">
        <f>3287*1.27</f>
        <v>4174.49</v>
      </c>
      <c r="E25" s="1758">
        <v>781</v>
      </c>
      <c r="F25" s="1758">
        <v>0</v>
      </c>
      <c r="G25" s="1758">
        <v>995</v>
      </c>
      <c r="H25" s="1758">
        <f>766*1.27</f>
        <v>972.82</v>
      </c>
      <c r="I25" s="1758">
        <v>250</v>
      </c>
      <c r="J25" s="1759">
        <f>207*1.27</f>
        <v>262.89</v>
      </c>
      <c r="K25" s="1747">
        <f t="shared" si="1"/>
        <v>6362</v>
      </c>
      <c r="L25" s="1748">
        <f t="shared" si="1"/>
        <v>5410.2</v>
      </c>
      <c r="M25" s="1749"/>
      <c r="N25" s="1750"/>
      <c r="O25" s="1745"/>
      <c r="P25" s="1746"/>
      <c r="Q25" s="1746"/>
      <c r="R25" s="1751"/>
      <c r="S25" s="768"/>
      <c r="T25" s="768"/>
    </row>
    <row r="26" spans="1:20" ht="15" customHeight="1">
      <c r="A26" s="1735" t="s">
        <v>161</v>
      </c>
      <c r="B26" s="1743" t="s">
        <v>565</v>
      </c>
      <c r="C26" s="1757">
        <v>4353</v>
      </c>
      <c r="D26" s="1757">
        <f>2835*1.27</f>
        <v>3600.4500000000003</v>
      </c>
      <c r="E26" s="1757">
        <v>2510</v>
      </c>
      <c r="F26" s="1757">
        <f>1642*1.27</f>
        <v>2085.34</v>
      </c>
      <c r="G26" s="1757">
        <v>1561</v>
      </c>
      <c r="H26" s="1757">
        <f>1234*1.27</f>
        <v>1567.18</v>
      </c>
      <c r="I26" s="1757">
        <v>750</v>
      </c>
      <c r="J26" s="1759">
        <f>(582+51)*1.27</f>
        <v>803.91</v>
      </c>
      <c r="K26" s="1747">
        <f t="shared" si="1"/>
        <v>9174</v>
      </c>
      <c r="L26" s="1748">
        <f t="shared" si="1"/>
        <v>8056.880000000001</v>
      </c>
      <c r="M26" s="1749"/>
      <c r="N26" s="1750"/>
      <c r="O26" s="1745"/>
      <c r="P26" s="1746"/>
      <c r="Q26" s="1746"/>
      <c r="R26" s="1751"/>
      <c r="S26" s="768"/>
      <c r="T26" s="768"/>
    </row>
    <row r="27" spans="1:20" ht="15" customHeight="1">
      <c r="A27" s="1735" t="s">
        <v>162</v>
      </c>
      <c r="B27" s="1743" t="s">
        <v>566</v>
      </c>
      <c r="C27" s="1757">
        <v>5353</v>
      </c>
      <c r="D27" s="1757">
        <f>3945*1.27</f>
        <v>5010.15</v>
      </c>
      <c r="E27" s="1757">
        <v>1023</v>
      </c>
      <c r="F27" s="1757">
        <f>778*1.27</f>
        <v>988.0600000000001</v>
      </c>
      <c r="G27" s="1757">
        <v>868</v>
      </c>
      <c r="H27" s="1757">
        <f>698*1.27</f>
        <v>886.46</v>
      </c>
      <c r="I27" s="1757">
        <v>501</v>
      </c>
      <c r="J27" s="1759">
        <f>409*1.27</f>
        <v>519.4300000000001</v>
      </c>
      <c r="K27" s="1747">
        <f t="shared" si="1"/>
        <v>7745</v>
      </c>
      <c r="L27" s="1748">
        <f t="shared" si="1"/>
        <v>7404.1</v>
      </c>
      <c r="M27" s="1749"/>
      <c r="N27" s="1750"/>
      <c r="O27" s="1745"/>
      <c r="P27" s="1746"/>
      <c r="Q27" s="1746"/>
      <c r="R27" s="1751"/>
      <c r="S27" s="768"/>
      <c r="T27" s="768"/>
    </row>
    <row r="28" spans="1:20" ht="15" customHeight="1">
      <c r="A28" s="1735" t="s">
        <v>163</v>
      </c>
      <c r="B28" s="1743" t="s">
        <v>567</v>
      </c>
      <c r="C28" s="1757">
        <v>6746</v>
      </c>
      <c r="D28" s="1757">
        <f>4635*1.27</f>
        <v>5886.45</v>
      </c>
      <c r="E28" s="1757">
        <v>1286</v>
      </c>
      <c r="F28" s="1757">
        <f>910*1.27</f>
        <v>1155.7</v>
      </c>
      <c r="G28" s="1757">
        <v>936</v>
      </c>
      <c r="H28" s="1757">
        <f>741*1.27</f>
        <v>941.07</v>
      </c>
      <c r="I28" s="1757">
        <v>507</v>
      </c>
      <c r="J28" s="1759">
        <f>369*1.27</f>
        <v>468.63</v>
      </c>
      <c r="K28" s="1747">
        <f t="shared" si="1"/>
        <v>9475</v>
      </c>
      <c r="L28" s="1748">
        <f t="shared" si="1"/>
        <v>8451.849999999999</v>
      </c>
      <c r="M28" s="1749"/>
      <c r="N28" s="1750"/>
      <c r="O28" s="1745"/>
      <c r="P28" s="1746"/>
      <c r="Q28" s="1746"/>
      <c r="R28" s="1751"/>
      <c r="S28" s="768"/>
      <c r="T28" s="768"/>
    </row>
    <row r="29" spans="1:20" ht="15" customHeight="1">
      <c r="A29" s="1735" t="s">
        <v>164</v>
      </c>
      <c r="B29" s="1743" t="s">
        <v>568</v>
      </c>
      <c r="C29" s="1757">
        <v>3892</v>
      </c>
      <c r="D29" s="1757">
        <f>3107*1.27</f>
        <v>3945.89</v>
      </c>
      <c r="E29" s="1757">
        <v>2107</v>
      </c>
      <c r="F29" s="1757">
        <f>1619*1.27</f>
        <v>2056.13</v>
      </c>
      <c r="G29" s="1757">
        <v>1225</v>
      </c>
      <c r="H29" s="1757">
        <f>1153*1.27</f>
        <v>1464.31</v>
      </c>
      <c r="I29" s="1757">
        <v>435</v>
      </c>
      <c r="J29" s="1759">
        <f>272*1.27</f>
        <v>345.44</v>
      </c>
      <c r="K29" s="1747">
        <f t="shared" si="1"/>
        <v>7659</v>
      </c>
      <c r="L29" s="1748">
        <f t="shared" si="1"/>
        <v>7811.7699999999995</v>
      </c>
      <c r="M29" s="1749"/>
      <c r="N29" s="1750"/>
      <c r="O29" s="1745"/>
      <c r="P29" s="1746"/>
      <c r="Q29" s="1746"/>
      <c r="R29" s="1751"/>
      <c r="S29" s="768"/>
      <c r="T29" s="768"/>
    </row>
    <row r="30" spans="1:20" ht="12.75">
      <c r="A30" s="1735"/>
      <c r="B30" s="1762"/>
      <c r="C30" s="1757"/>
      <c r="D30" s="1757"/>
      <c r="E30" s="1758"/>
      <c r="F30" s="1758"/>
      <c r="G30" s="1758"/>
      <c r="H30" s="1758"/>
      <c r="I30" s="1758"/>
      <c r="J30" s="1759"/>
      <c r="K30" s="1760"/>
      <c r="L30" s="1751"/>
      <c r="M30" s="1761"/>
      <c r="N30" s="768"/>
      <c r="O30" s="1758"/>
      <c r="P30" s="1759"/>
      <c r="Q30" s="1759"/>
      <c r="R30" s="1751"/>
      <c r="S30" s="768"/>
      <c r="T30" s="768"/>
    </row>
    <row r="31" spans="1:21" ht="19.5" customHeight="1">
      <c r="A31" s="2088"/>
      <c r="B31" s="2089" t="s">
        <v>58</v>
      </c>
      <c r="C31" s="2097">
        <f aca="true" t="shared" si="2" ref="C31:M31">SUM(C19:C30)</f>
        <v>52636</v>
      </c>
      <c r="D31" s="2097">
        <f>SUM(D19:D30)</f>
        <v>48238.409999999996</v>
      </c>
      <c r="E31" s="2098">
        <f t="shared" si="2"/>
        <v>16319</v>
      </c>
      <c r="F31" s="2097">
        <f>SUM(F19:F30)</f>
        <v>15068.55</v>
      </c>
      <c r="G31" s="2098">
        <f t="shared" si="2"/>
        <v>11960</v>
      </c>
      <c r="H31" s="2098">
        <f>SUM(H19:H30)</f>
        <v>12650.47</v>
      </c>
      <c r="I31" s="2098">
        <f t="shared" si="2"/>
        <v>4726</v>
      </c>
      <c r="J31" s="2099">
        <f>SUM(J19:J30)</f>
        <v>4761.23</v>
      </c>
      <c r="K31" s="2100">
        <f t="shared" si="2"/>
        <v>85641</v>
      </c>
      <c r="L31" s="2101">
        <f>SUM(L19:L30)</f>
        <v>80718.66</v>
      </c>
      <c r="M31" s="2102">
        <f t="shared" si="2"/>
        <v>0</v>
      </c>
      <c r="N31" s="2103">
        <f>SUM(N19:N30)</f>
        <v>0</v>
      </c>
      <c r="O31" s="2098">
        <f>SUM(O19:O29)</f>
        <v>0</v>
      </c>
      <c r="P31" s="2099">
        <f>SUM(P19:P30)</f>
        <v>0</v>
      </c>
      <c r="Q31" s="2099">
        <f>SUM(Q19:Q30)</f>
        <v>0</v>
      </c>
      <c r="R31" s="2101">
        <f>SUM(R19:R30)</f>
        <v>0</v>
      </c>
      <c r="S31" s="769"/>
      <c r="T31" s="769"/>
      <c r="U31" s="770"/>
    </row>
    <row r="32" spans="1:20" ht="12.75">
      <c r="A32" s="1752"/>
      <c r="B32" s="1763"/>
      <c r="C32" s="1757"/>
      <c r="D32" s="1757"/>
      <c r="E32" s="1758"/>
      <c r="F32" s="1758"/>
      <c r="G32" s="1758"/>
      <c r="H32" s="1758"/>
      <c r="I32" s="1758"/>
      <c r="J32" s="1759"/>
      <c r="K32" s="1760"/>
      <c r="L32" s="1751"/>
      <c r="M32" s="1761"/>
      <c r="N32" s="768"/>
      <c r="O32" s="1758"/>
      <c r="P32" s="1759"/>
      <c r="Q32" s="1759"/>
      <c r="R32" s="1751"/>
      <c r="S32" s="768"/>
      <c r="T32" s="768"/>
    </row>
    <row r="33" spans="1:20" ht="15" customHeight="1">
      <c r="A33" s="1735" t="s">
        <v>482</v>
      </c>
      <c r="B33" s="1743" t="s">
        <v>212</v>
      </c>
      <c r="C33" s="1757">
        <v>1118</v>
      </c>
      <c r="D33" s="1757">
        <f>832*1.27</f>
        <v>1056.64</v>
      </c>
      <c r="E33" s="1758">
        <v>351</v>
      </c>
      <c r="F33" s="1758">
        <f>59*1.27</f>
        <v>74.93</v>
      </c>
      <c r="G33" s="1758">
        <v>178</v>
      </c>
      <c r="H33" s="1758">
        <f>163*1.27</f>
        <v>207.01</v>
      </c>
      <c r="I33" s="1758">
        <v>182</v>
      </c>
      <c r="J33" s="1759">
        <f>(127+46)*1.27</f>
        <v>219.71</v>
      </c>
      <c r="K33" s="1747">
        <f aca="true" t="shared" si="3" ref="K33:L37">C33+E33+G33+I33</f>
        <v>1829</v>
      </c>
      <c r="L33" s="1748">
        <f t="shared" si="3"/>
        <v>1558.2900000000002</v>
      </c>
      <c r="M33" s="1749"/>
      <c r="N33" s="1750"/>
      <c r="O33" s="1745"/>
      <c r="P33" s="1746"/>
      <c r="Q33" s="1746">
        <v>2823</v>
      </c>
      <c r="R33" s="1751">
        <f>2217*1.27</f>
        <v>2815.59</v>
      </c>
      <c r="S33" s="768"/>
      <c r="T33" s="768"/>
    </row>
    <row r="34" spans="1:20" ht="15" customHeight="1">
      <c r="A34" s="1735" t="s">
        <v>155</v>
      </c>
      <c r="B34" s="1743" t="s">
        <v>925</v>
      </c>
      <c r="C34" s="1757">
        <v>1082</v>
      </c>
      <c r="D34" s="1757">
        <f>778*1.27</f>
        <v>988.0600000000001</v>
      </c>
      <c r="E34" s="1758">
        <v>1448</v>
      </c>
      <c r="F34" s="1758">
        <f>1142*1.27</f>
        <v>1450.34</v>
      </c>
      <c r="G34" s="1758">
        <v>499</v>
      </c>
      <c r="H34" s="1758">
        <f>356*1.27</f>
        <v>452.12</v>
      </c>
      <c r="I34" s="1758">
        <v>251</v>
      </c>
      <c r="J34" s="1759">
        <f>200*1.27</f>
        <v>254</v>
      </c>
      <c r="K34" s="1747">
        <f t="shared" si="3"/>
        <v>3280</v>
      </c>
      <c r="L34" s="1748">
        <f t="shared" si="3"/>
        <v>3144.52</v>
      </c>
      <c r="M34" s="1749"/>
      <c r="N34" s="1750"/>
      <c r="O34" s="1745"/>
      <c r="P34" s="1746"/>
      <c r="Q34" s="1746">
        <v>38516</v>
      </c>
      <c r="R34" s="1751">
        <f>30604*1.27</f>
        <v>38867.08</v>
      </c>
      <c r="S34" s="768"/>
      <c r="T34" s="768"/>
    </row>
    <row r="35" spans="1:20" ht="15" customHeight="1">
      <c r="A35" s="1735" t="s">
        <v>156</v>
      </c>
      <c r="B35" s="1743" t="s">
        <v>926</v>
      </c>
      <c r="C35" s="1757">
        <v>2615</v>
      </c>
      <c r="D35" s="1757">
        <f>1880*1.27</f>
        <v>2387.6</v>
      </c>
      <c r="E35" s="1758">
        <v>561</v>
      </c>
      <c r="F35" s="1758">
        <f>438*1.27</f>
        <v>556.26</v>
      </c>
      <c r="G35" s="1758">
        <v>219</v>
      </c>
      <c r="H35" s="1758">
        <f>155*1.27</f>
        <v>196.85</v>
      </c>
      <c r="I35" s="1758">
        <v>167</v>
      </c>
      <c r="J35" s="1759">
        <f>139*1.27</f>
        <v>176.53</v>
      </c>
      <c r="K35" s="1747">
        <f t="shared" si="3"/>
        <v>3562</v>
      </c>
      <c r="L35" s="1748">
        <f t="shared" si="3"/>
        <v>3317.24</v>
      </c>
      <c r="M35" s="1749"/>
      <c r="N35" s="1750"/>
      <c r="O35" s="1745"/>
      <c r="P35" s="1746"/>
      <c r="Q35" s="1746">
        <v>30219</v>
      </c>
      <c r="R35" s="1751">
        <f>24088*1.27</f>
        <v>30591.760000000002</v>
      </c>
      <c r="S35" s="768"/>
      <c r="T35" s="768"/>
    </row>
    <row r="36" spans="1:20" ht="15" customHeight="1">
      <c r="A36" s="1735" t="s">
        <v>157</v>
      </c>
      <c r="B36" s="1743" t="s">
        <v>927</v>
      </c>
      <c r="C36" s="1757">
        <v>1352</v>
      </c>
      <c r="D36" s="1757">
        <f>1065*1.27</f>
        <v>1352.55</v>
      </c>
      <c r="E36" s="1758">
        <v>400</v>
      </c>
      <c r="F36" s="1758">
        <f>291*1.27</f>
        <v>369.57</v>
      </c>
      <c r="G36" s="1758">
        <v>190</v>
      </c>
      <c r="H36" s="1758">
        <f>144*1.27</f>
        <v>182.88</v>
      </c>
      <c r="I36" s="1758">
        <v>86</v>
      </c>
      <c r="J36" s="1759">
        <f>63*1.27</f>
        <v>80.01</v>
      </c>
      <c r="K36" s="1747">
        <f t="shared" si="3"/>
        <v>2028</v>
      </c>
      <c r="L36" s="1748">
        <f t="shared" si="3"/>
        <v>1985.01</v>
      </c>
      <c r="M36" s="1749"/>
      <c r="N36" s="1750"/>
      <c r="O36" s="1745"/>
      <c r="P36" s="1746"/>
      <c r="Q36" s="1746">
        <v>22587</v>
      </c>
      <c r="R36" s="1751">
        <f>17845*1.27</f>
        <v>22663.15</v>
      </c>
      <c r="S36" s="768"/>
      <c r="T36" s="768"/>
    </row>
    <row r="37" spans="1:20" ht="15" customHeight="1">
      <c r="A37" s="1735" t="s">
        <v>158</v>
      </c>
      <c r="B37" s="1743" t="s">
        <v>928</v>
      </c>
      <c r="C37" s="1757">
        <v>1000</v>
      </c>
      <c r="D37" s="1757">
        <f>285*1.27</f>
        <v>361.95</v>
      </c>
      <c r="E37" s="1758">
        <v>1170</v>
      </c>
      <c r="F37" s="1758">
        <f>1023*1.27</f>
        <v>1299.21</v>
      </c>
      <c r="G37" s="1758">
        <v>227</v>
      </c>
      <c r="H37" s="1758">
        <f>76*1.27</f>
        <v>96.52</v>
      </c>
      <c r="I37" s="1758">
        <v>169</v>
      </c>
      <c r="J37" s="1759">
        <f>145*1.27</f>
        <v>184.15</v>
      </c>
      <c r="K37" s="1747">
        <f t="shared" si="3"/>
        <v>2566</v>
      </c>
      <c r="L37" s="1748">
        <f t="shared" si="3"/>
        <v>1941.8300000000002</v>
      </c>
      <c r="M37" s="1749"/>
      <c r="N37" s="1750"/>
      <c r="O37" s="1745"/>
      <c r="P37" s="1746"/>
      <c r="Q37" s="1746"/>
      <c r="R37" s="1751"/>
      <c r="S37" s="768"/>
      <c r="T37" s="768"/>
    </row>
    <row r="38" spans="1:20" ht="12.75">
      <c r="A38" s="1735"/>
      <c r="B38" s="1762"/>
      <c r="C38" s="1757"/>
      <c r="D38" s="1757"/>
      <c r="E38" s="1758"/>
      <c r="F38" s="1758"/>
      <c r="G38" s="1758"/>
      <c r="H38" s="1758"/>
      <c r="I38" s="1758"/>
      <c r="J38" s="1759"/>
      <c r="K38" s="1760"/>
      <c r="L38" s="1751"/>
      <c r="M38" s="1761"/>
      <c r="N38" s="768"/>
      <c r="O38" s="1758"/>
      <c r="P38" s="1759"/>
      <c r="Q38" s="1759"/>
      <c r="R38" s="1751"/>
      <c r="S38" s="768"/>
      <c r="T38" s="768"/>
    </row>
    <row r="39" spans="1:20" ht="19.5" customHeight="1">
      <c r="A39" s="2088"/>
      <c r="B39" s="2104" t="s">
        <v>213</v>
      </c>
      <c r="C39" s="2097">
        <f aca="true" t="shared" si="4" ref="C39:M39">SUM(C33:C38)</f>
        <v>7167</v>
      </c>
      <c r="D39" s="2097">
        <f>SUM(D33:D38)</f>
        <v>6146.8</v>
      </c>
      <c r="E39" s="2098">
        <f t="shared" si="4"/>
        <v>3930</v>
      </c>
      <c r="F39" s="2097">
        <f>SUM(F33:F38)</f>
        <v>3750.31</v>
      </c>
      <c r="G39" s="2098">
        <f t="shared" si="4"/>
        <v>1313</v>
      </c>
      <c r="H39" s="2098">
        <f>SUM(H33:H38)</f>
        <v>1135.38</v>
      </c>
      <c r="I39" s="2098">
        <f t="shared" si="4"/>
        <v>855</v>
      </c>
      <c r="J39" s="2099">
        <f>SUM(J33:J38)</f>
        <v>914.4</v>
      </c>
      <c r="K39" s="2100">
        <f t="shared" si="4"/>
        <v>13265</v>
      </c>
      <c r="L39" s="2101">
        <f>SUM(L33:L38)</f>
        <v>11946.89</v>
      </c>
      <c r="M39" s="2102">
        <f t="shared" si="4"/>
        <v>0</v>
      </c>
      <c r="N39" s="2103">
        <f>SUM(N33:N38)</f>
        <v>0</v>
      </c>
      <c r="O39" s="2098">
        <f>SUM(O33:O37)</f>
        <v>0</v>
      </c>
      <c r="P39" s="2099">
        <f>SUM(P33:P38)</f>
        <v>0</v>
      </c>
      <c r="Q39" s="2099">
        <f>SUM(Q33:Q38)</f>
        <v>94145</v>
      </c>
      <c r="R39" s="2101">
        <f>SUM(R33:R38)</f>
        <v>94937.57999999999</v>
      </c>
      <c r="S39" s="769"/>
      <c r="T39" s="769"/>
    </row>
    <row r="40" spans="1:20" ht="12.75">
      <c r="A40" s="1764"/>
      <c r="B40" s="1765"/>
      <c r="C40" s="1766"/>
      <c r="D40" s="1766"/>
      <c r="E40" s="1767"/>
      <c r="F40" s="1767"/>
      <c r="G40" s="1767"/>
      <c r="H40" s="1767"/>
      <c r="I40" s="1767"/>
      <c r="J40" s="1768"/>
      <c r="K40" s="1769"/>
      <c r="L40" s="1770"/>
      <c r="M40" s="1771"/>
      <c r="N40" s="769"/>
      <c r="O40" s="1767"/>
      <c r="P40" s="1768"/>
      <c r="Q40" s="1768"/>
      <c r="R40" s="1770"/>
      <c r="S40" s="769"/>
      <c r="T40" s="769"/>
    </row>
    <row r="41" spans="1:20" ht="15" customHeight="1">
      <c r="A41" s="1735" t="s">
        <v>482</v>
      </c>
      <c r="B41" s="1743" t="s">
        <v>569</v>
      </c>
      <c r="C41" s="1772">
        <v>1000</v>
      </c>
      <c r="D41" s="1772">
        <f>176*1.27</f>
        <v>223.52</v>
      </c>
      <c r="E41" s="1773">
        <v>500</v>
      </c>
      <c r="F41" s="1773">
        <f>165*1.27</f>
        <v>209.55</v>
      </c>
      <c r="G41" s="1773">
        <v>100</v>
      </c>
      <c r="H41" s="1773">
        <f>50*1.27</f>
        <v>63.5</v>
      </c>
      <c r="I41" s="1773">
        <v>100</v>
      </c>
      <c r="J41" s="1774">
        <f>84*1.27</f>
        <v>106.68</v>
      </c>
      <c r="K41" s="1747">
        <f>C41+E41+G41+I41</f>
        <v>1700</v>
      </c>
      <c r="L41" s="1748">
        <f>D41+F41+H41+J41</f>
        <v>603.25</v>
      </c>
      <c r="M41" s="1771"/>
      <c r="N41" s="769"/>
      <c r="O41" s="1773">
        <v>3721</v>
      </c>
      <c r="P41" s="1774">
        <f>2589*1.27</f>
        <v>3288.03</v>
      </c>
      <c r="Q41" s="1774"/>
      <c r="R41" s="1770"/>
      <c r="S41" s="769"/>
      <c r="T41" s="769"/>
    </row>
    <row r="42" spans="1:20" ht="13.5" thickBot="1">
      <c r="A42" s="1752"/>
      <c r="B42" s="1775"/>
      <c r="C42" s="1757"/>
      <c r="D42" s="1757"/>
      <c r="E42" s="1758"/>
      <c r="F42" s="1758"/>
      <c r="G42" s="1758"/>
      <c r="H42" s="1758"/>
      <c r="I42" s="1758"/>
      <c r="J42" s="1759"/>
      <c r="K42" s="1760"/>
      <c r="L42" s="1751"/>
      <c r="M42" s="1761"/>
      <c r="N42" s="768"/>
      <c r="O42" s="1758"/>
      <c r="P42" s="1759"/>
      <c r="Q42" s="1759"/>
      <c r="R42" s="1751"/>
      <c r="S42" s="768"/>
      <c r="T42" s="768"/>
    </row>
    <row r="43" spans="1:20" ht="19.5" customHeight="1" thickBot="1">
      <c r="A43" s="2105"/>
      <c r="B43" s="2106" t="s">
        <v>588</v>
      </c>
      <c r="C43" s="2107">
        <f aca="true" t="shared" si="5" ref="C43:R43">C17+C31+C39+C41</f>
        <v>86411</v>
      </c>
      <c r="D43" s="2107">
        <f>D17+D31+D39+D41</f>
        <v>77292.20000000001</v>
      </c>
      <c r="E43" s="2107">
        <f t="shared" si="5"/>
        <v>28156</v>
      </c>
      <c r="F43" s="2107">
        <f>F17+F31+F39+F41</f>
        <v>26893.52</v>
      </c>
      <c r="G43" s="2107">
        <f t="shared" si="5"/>
        <v>17412</v>
      </c>
      <c r="H43" s="2107">
        <f>H17+H31+H39+H41</f>
        <v>18093.69</v>
      </c>
      <c r="I43" s="2107">
        <f t="shared" si="5"/>
        <v>8347</v>
      </c>
      <c r="J43" s="2108">
        <f>J17+J31+J39+J41</f>
        <v>8404.86</v>
      </c>
      <c r="K43" s="2109">
        <f t="shared" si="5"/>
        <v>140326</v>
      </c>
      <c r="L43" s="2110">
        <f>L17+L31+L39+L41</f>
        <v>130684.27</v>
      </c>
      <c r="M43" s="2109">
        <f t="shared" si="5"/>
        <v>0</v>
      </c>
      <c r="N43" s="2108">
        <f>N17+N31+N39+N41</f>
        <v>0</v>
      </c>
      <c r="O43" s="2111">
        <f t="shared" si="5"/>
        <v>3721</v>
      </c>
      <c r="P43" s="2112">
        <f>P17+P31+P39+P41</f>
        <v>3288.03</v>
      </c>
      <c r="Q43" s="2112">
        <f>Q17+Q31+Q39+Q41</f>
        <v>127132</v>
      </c>
      <c r="R43" s="2110">
        <f t="shared" si="5"/>
        <v>125480.4</v>
      </c>
      <c r="S43" s="768"/>
      <c r="T43" s="768"/>
    </row>
    <row r="44" spans="3:18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</sheetData>
  <sheetProtection/>
  <mergeCells count="13">
    <mergeCell ref="A4:R4"/>
    <mergeCell ref="B7:R7"/>
    <mergeCell ref="C9:R9"/>
    <mergeCell ref="C10:K10"/>
    <mergeCell ref="M10:R10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 verticalCentered="1"/>
  <pageMargins left="0" right="0" top="0.35433070866141736" bottom="0.5905511811023623" header="0.5905511811023623" footer="0.5118110236220472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3"/>
  <sheetViews>
    <sheetView zoomScale="110" zoomScaleNormal="110" zoomScalePageLayoutView="0" workbookViewId="0" topLeftCell="G1">
      <selection activeCell="Q2" sqref="Q2"/>
    </sheetView>
  </sheetViews>
  <sheetFormatPr defaultColWidth="9.00390625" defaultRowHeight="12.75"/>
  <cols>
    <col min="1" max="1" width="3.875" style="1006" customWidth="1"/>
    <col min="2" max="2" width="30.75390625" style="1006" customWidth="1"/>
    <col min="3" max="3" width="13.25390625" style="1006" customWidth="1"/>
    <col min="4" max="4" width="13.00390625" style="1006" customWidth="1"/>
    <col min="5" max="5" width="12.875" style="1006" customWidth="1"/>
    <col min="6" max="8" width="10.75390625" style="1006" customWidth="1"/>
    <col min="9" max="9" width="11.25390625" style="1006" customWidth="1"/>
    <col min="10" max="13" width="10.75390625" style="1006" customWidth="1"/>
    <col min="14" max="14" width="11.25390625" style="1006" customWidth="1"/>
    <col min="15" max="17" width="10.75390625" style="1006" customWidth="1"/>
    <col min="18" max="18" width="8.75390625" style="1006" customWidth="1"/>
    <col min="19" max="20" width="7.75390625" style="1006" customWidth="1"/>
    <col min="21" max="16384" width="9.125" style="1006" customWidth="1"/>
  </cols>
  <sheetData>
    <row r="1" spans="15:17" ht="12.75">
      <c r="O1" s="1007"/>
      <c r="P1" s="1612"/>
      <c r="Q1" s="2011" t="s">
        <v>1262</v>
      </c>
    </row>
    <row r="2" spans="15:17" ht="12.75">
      <c r="O2" s="1007"/>
      <c r="P2" s="1007"/>
      <c r="Q2" s="2011" t="s">
        <v>71</v>
      </c>
    </row>
    <row r="3" spans="15:17" ht="12.75">
      <c r="O3" s="1007"/>
      <c r="P3" s="1007"/>
      <c r="Q3" s="558"/>
    </row>
    <row r="4" spans="15:17" ht="12.75">
      <c r="O4" s="1007"/>
      <c r="P4" s="1007"/>
      <c r="Q4" s="558"/>
    </row>
    <row r="5" spans="1:20" ht="15.75">
      <c r="A5" s="2281" t="s">
        <v>1220</v>
      </c>
      <c r="B5" s="2281"/>
      <c r="C5" s="2281"/>
      <c r="D5" s="2281"/>
      <c r="E5" s="2281"/>
      <c r="F5" s="2281"/>
      <c r="G5" s="2281"/>
      <c r="H5" s="2281"/>
      <c r="I5" s="2281"/>
      <c r="J5" s="2281"/>
      <c r="K5" s="2281"/>
      <c r="L5" s="2281"/>
      <c r="M5" s="2281"/>
      <c r="N5" s="2281"/>
      <c r="O5" s="2281"/>
      <c r="P5" s="2281"/>
      <c r="Q5" s="2281"/>
      <c r="R5" s="1009"/>
      <c r="S5" s="1009"/>
      <c r="T5" s="1009"/>
    </row>
    <row r="6" spans="1:19" ht="12.75" hidden="1">
      <c r="A6" s="1008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10"/>
    </row>
    <row r="7" spans="1:19" ht="12.75">
      <c r="A7" s="1008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10"/>
    </row>
    <row r="8" spans="1:19" ht="12.75">
      <c r="A8" s="1008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10"/>
    </row>
    <row r="9" spans="1:19" ht="12.75">
      <c r="A9" s="1008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11"/>
      <c r="R9" s="1009"/>
      <c r="S9" s="1010"/>
    </row>
    <row r="10" spans="1:19" ht="13.5" thickBot="1">
      <c r="A10" s="1008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789" t="s">
        <v>1011</v>
      </c>
      <c r="R10" s="1009"/>
      <c r="S10" s="1010"/>
    </row>
    <row r="11" spans="1:17" ht="13.5" thickBot="1">
      <c r="A11" s="1614"/>
      <c r="B11" s="1615"/>
      <c r="C11" s="1694"/>
      <c r="D11" s="1695"/>
      <c r="E11" s="1617"/>
      <c r="F11" s="2250" t="s">
        <v>779</v>
      </c>
      <c r="G11" s="2250"/>
      <c r="H11" s="2250"/>
      <c r="I11" s="2250"/>
      <c r="J11" s="2250"/>
      <c r="K11" s="2250"/>
      <c r="L11" s="2250"/>
      <c r="M11" s="2250"/>
      <c r="N11" s="2250"/>
      <c r="O11" s="2250"/>
      <c r="P11" s="1618" t="s">
        <v>789</v>
      </c>
      <c r="Q11" s="1619"/>
    </row>
    <row r="12" spans="1:17" ht="13.5" thickBot="1">
      <c r="A12" s="1622"/>
      <c r="B12" s="1623"/>
      <c r="C12" s="1622"/>
      <c r="D12" s="1635"/>
      <c r="E12" s="1625"/>
      <c r="F12" s="2257" t="s">
        <v>1074</v>
      </c>
      <c r="G12" s="2257"/>
      <c r="H12" s="2257"/>
      <c r="I12" s="2257"/>
      <c r="J12" s="2257"/>
      <c r="K12" s="2282"/>
      <c r="L12" s="2258" t="s">
        <v>78</v>
      </c>
      <c r="M12" s="2257"/>
      <c r="N12" s="2257"/>
      <c r="O12" s="2257"/>
      <c r="P12" s="1626"/>
      <c r="Q12" s="1617"/>
    </row>
    <row r="13" spans="1:17" ht="12.75" customHeight="1">
      <c r="A13" s="1628"/>
      <c r="B13" s="1629"/>
      <c r="C13" s="1638" t="s">
        <v>222</v>
      </c>
      <c r="D13" s="1634" t="s">
        <v>223</v>
      </c>
      <c r="E13" s="1632" t="s">
        <v>344</v>
      </c>
      <c r="F13" s="1014"/>
      <c r="G13" s="1633" t="s">
        <v>965</v>
      </c>
      <c r="H13" s="1633"/>
      <c r="I13" s="1634"/>
      <c r="J13" s="1633"/>
      <c r="K13" s="1623"/>
      <c r="L13" s="1622"/>
      <c r="M13" s="1635"/>
      <c r="N13" s="1633"/>
      <c r="O13" s="1623"/>
      <c r="P13" s="1636"/>
      <c r="Q13" s="1637"/>
    </row>
    <row r="14" spans="1:17" ht="12.75">
      <c r="A14" s="1628"/>
      <c r="B14" s="1634"/>
      <c r="C14" s="1638" t="s">
        <v>4</v>
      </c>
      <c r="D14" s="1633" t="s">
        <v>4</v>
      </c>
      <c r="E14" s="1632" t="s">
        <v>968</v>
      </c>
      <c r="F14" s="1012" t="s">
        <v>350</v>
      </c>
      <c r="G14" s="1633" t="s">
        <v>351</v>
      </c>
      <c r="H14" s="1633" t="s">
        <v>352</v>
      </c>
      <c r="I14" s="1634" t="s">
        <v>967</v>
      </c>
      <c r="J14" s="1633" t="s">
        <v>345</v>
      </c>
      <c r="K14" s="1634" t="s">
        <v>346</v>
      </c>
      <c r="L14" s="1636" t="s">
        <v>554</v>
      </c>
      <c r="M14" s="1639" t="s">
        <v>555</v>
      </c>
      <c r="N14" s="1633" t="s">
        <v>345</v>
      </c>
      <c r="O14" s="1634" t="s">
        <v>347</v>
      </c>
      <c r="P14" s="1636" t="s">
        <v>346</v>
      </c>
      <c r="Q14" s="1637" t="s">
        <v>347</v>
      </c>
    </row>
    <row r="15" spans="1:17" ht="12.75">
      <c r="A15" s="1776" t="s">
        <v>530</v>
      </c>
      <c r="B15" s="1634" t="s">
        <v>589</v>
      </c>
      <c r="C15" s="1776"/>
      <c r="D15" s="1633"/>
      <c r="E15" s="1632" t="s">
        <v>556</v>
      </c>
      <c r="F15" s="1012" t="s">
        <v>357</v>
      </c>
      <c r="G15" s="1633" t="s">
        <v>358</v>
      </c>
      <c r="H15" s="1633" t="s">
        <v>968</v>
      </c>
      <c r="I15" s="1634" t="s">
        <v>360</v>
      </c>
      <c r="J15" s="1633" t="s">
        <v>353</v>
      </c>
      <c r="K15" s="1634" t="s">
        <v>354</v>
      </c>
      <c r="L15" s="1636"/>
      <c r="M15" s="1639"/>
      <c r="N15" s="1633" t="s">
        <v>355</v>
      </c>
      <c r="O15" s="1634" t="s">
        <v>354</v>
      </c>
      <c r="P15" s="1636" t="s">
        <v>354</v>
      </c>
      <c r="Q15" s="1637" t="s">
        <v>354</v>
      </c>
    </row>
    <row r="16" spans="1:17" ht="12.75">
      <c r="A16" s="1645"/>
      <c r="B16" s="1634"/>
      <c r="C16" s="1776"/>
      <c r="D16" s="1633"/>
      <c r="E16" s="1632" t="s">
        <v>879</v>
      </c>
      <c r="F16" s="1014"/>
      <c r="G16" s="1639" t="s">
        <v>362</v>
      </c>
      <c r="H16" s="1633"/>
      <c r="I16" s="1634" t="s">
        <v>364</v>
      </c>
      <c r="J16" s="1633" t="s">
        <v>557</v>
      </c>
      <c r="K16" s="1634" t="s">
        <v>359</v>
      </c>
      <c r="L16" s="1622"/>
      <c r="M16" s="1635"/>
      <c r="N16" s="1633" t="s">
        <v>557</v>
      </c>
      <c r="O16" s="1634" t="s">
        <v>359</v>
      </c>
      <c r="P16" s="1636"/>
      <c r="Q16" s="1637"/>
    </row>
    <row r="17" spans="1:17" ht="12.75">
      <c r="A17" s="1648"/>
      <c r="B17" s="1634"/>
      <c r="C17" s="1776"/>
      <c r="D17" s="1633"/>
      <c r="E17" s="1649"/>
      <c r="F17" s="1014"/>
      <c r="G17" s="1639" t="s">
        <v>366</v>
      </c>
      <c r="H17" s="1633"/>
      <c r="I17" s="1634"/>
      <c r="J17" s="1633"/>
      <c r="K17" s="1634" t="s">
        <v>363</v>
      </c>
      <c r="L17" s="1650"/>
      <c r="M17" s="1651"/>
      <c r="N17" s="1633"/>
      <c r="O17" s="1634" t="s">
        <v>363</v>
      </c>
      <c r="P17" s="1636"/>
      <c r="Q17" s="1637"/>
    </row>
    <row r="18" spans="1:17" ht="12.75">
      <c r="A18" s="1642"/>
      <c r="B18" s="1652"/>
      <c r="C18" s="1628"/>
      <c r="D18" s="1705"/>
      <c r="E18" s="1655"/>
      <c r="F18" s="1014"/>
      <c r="G18" s="1639" t="s">
        <v>367</v>
      </c>
      <c r="H18" s="1633"/>
      <c r="I18" s="1014"/>
      <c r="J18" s="1635"/>
      <c r="K18" s="1623"/>
      <c r="L18" s="1656"/>
      <c r="M18" s="1657"/>
      <c r="N18" s="1635"/>
      <c r="O18" s="1623"/>
      <c r="P18" s="1622"/>
      <c r="Q18" s="1658"/>
    </row>
    <row r="19" spans="1:17" ht="12.75">
      <c r="A19" s="1659">
        <v>1</v>
      </c>
      <c r="B19" s="1660">
        <v>2</v>
      </c>
      <c r="C19" s="1666">
        <v>3</v>
      </c>
      <c r="D19" s="1664">
        <v>4</v>
      </c>
      <c r="E19" s="1662">
        <v>5</v>
      </c>
      <c r="F19" s="1663">
        <v>6</v>
      </c>
      <c r="G19" s="1664">
        <v>7</v>
      </c>
      <c r="H19" s="1664">
        <v>8</v>
      </c>
      <c r="I19" s="1664">
        <v>9</v>
      </c>
      <c r="J19" s="1664">
        <v>10</v>
      </c>
      <c r="K19" s="1661">
        <v>11</v>
      </c>
      <c r="L19" s="1659">
        <v>12</v>
      </c>
      <c r="M19" s="1665">
        <v>13</v>
      </c>
      <c r="N19" s="1664">
        <v>14</v>
      </c>
      <c r="O19" s="1664">
        <v>15</v>
      </c>
      <c r="P19" s="1666">
        <v>16</v>
      </c>
      <c r="Q19" s="1667">
        <v>17</v>
      </c>
    </row>
    <row r="20" spans="1:17" ht="12.75">
      <c r="A20" s="1624"/>
      <c r="B20" s="1676"/>
      <c r="C20" s="1777"/>
      <c r="D20" s="1778"/>
      <c r="E20" s="1677"/>
      <c r="F20" s="1016"/>
      <c r="G20" s="1016"/>
      <c r="H20" s="1016"/>
      <c r="I20" s="1016"/>
      <c r="J20" s="1016"/>
      <c r="K20" s="1016"/>
      <c r="L20" s="1673"/>
      <c r="M20" s="1016"/>
      <c r="N20" s="1016"/>
      <c r="O20" s="1016"/>
      <c r="P20" s="1673"/>
      <c r="Q20" s="1674"/>
    </row>
    <row r="21" spans="1:17" ht="15" customHeight="1">
      <c r="A21" s="1638" t="s">
        <v>482</v>
      </c>
      <c r="B21" s="1671" t="s">
        <v>590</v>
      </c>
      <c r="C21" s="1673">
        <v>29804</v>
      </c>
      <c r="D21" s="1711">
        <v>37317</v>
      </c>
      <c r="E21" s="1672">
        <f aca="true" t="shared" si="0" ref="E21:E34">SUM(F21:Q21)</f>
        <v>34396</v>
      </c>
      <c r="F21" s="1016">
        <f>1120+94</f>
        <v>1214</v>
      </c>
      <c r="G21" s="1016">
        <v>311</v>
      </c>
      <c r="H21" s="1016">
        <f>1422+23408+6767+1274</f>
        <v>32871</v>
      </c>
      <c r="I21" s="1016"/>
      <c r="J21" s="1016"/>
      <c r="K21" s="1016"/>
      <c r="L21" s="1673"/>
      <c r="M21" s="1016"/>
      <c r="N21" s="1016"/>
      <c r="O21" s="1016"/>
      <c r="P21" s="1673"/>
      <c r="Q21" s="1674"/>
    </row>
    <row r="22" spans="1:17" ht="15" customHeight="1">
      <c r="A22" s="1638" t="s">
        <v>155</v>
      </c>
      <c r="B22" s="1671" t="s">
        <v>591</v>
      </c>
      <c r="C22" s="1673">
        <v>66683</v>
      </c>
      <c r="D22" s="1711">
        <v>53800</v>
      </c>
      <c r="E22" s="1672">
        <f t="shared" si="0"/>
        <v>52754</v>
      </c>
      <c r="F22" s="1016">
        <f>156+15</f>
        <v>171</v>
      </c>
      <c r="G22" s="1016">
        <v>20</v>
      </c>
      <c r="H22" s="1016">
        <f>1232+39337+11059+935</f>
        <v>52563</v>
      </c>
      <c r="I22" s="1016"/>
      <c r="J22" s="1016"/>
      <c r="K22" s="1016"/>
      <c r="L22" s="1673"/>
      <c r="M22" s="1016"/>
      <c r="N22" s="1016"/>
      <c r="O22" s="1016"/>
      <c r="P22" s="1673"/>
      <c r="Q22" s="1674"/>
    </row>
    <row r="23" spans="1:17" ht="15" customHeight="1">
      <c r="A23" s="1638" t="s">
        <v>156</v>
      </c>
      <c r="B23" s="1671" t="s">
        <v>592</v>
      </c>
      <c r="C23" s="1673">
        <v>56002</v>
      </c>
      <c r="D23" s="1711">
        <v>55617</v>
      </c>
      <c r="E23" s="1672">
        <f t="shared" si="0"/>
        <v>55285</v>
      </c>
      <c r="F23" s="1016">
        <f>818+535</f>
        <v>1353</v>
      </c>
      <c r="G23" s="1016">
        <v>340</v>
      </c>
      <c r="H23" s="1016">
        <f>1188+39785+11172+1447</f>
        <v>53592</v>
      </c>
      <c r="I23" s="1016"/>
      <c r="J23" s="1016"/>
      <c r="K23" s="1016"/>
      <c r="L23" s="1673"/>
      <c r="M23" s="1016"/>
      <c r="N23" s="1016"/>
      <c r="O23" s="1016"/>
      <c r="P23" s="1673"/>
      <c r="Q23" s="1674"/>
    </row>
    <row r="24" spans="1:17" ht="15" customHeight="1">
      <c r="A24" s="1638" t="s">
        <v>157</v>
      </c>
      <c r="B24" s="1671" t="s">
        <v>593</v>
      </c>
      <c r="C24" s="1673">
        <v>21638</v>
      </c>
      <c r="D24" s="1711">
        <v>20661</v>
      </c>
      <c r="E24" s="1672">
        <f t="shared" si="0"/>
        <v>21332</v>
      </c>
      <c r="F24" s="1016">
        <f>809+3</f>
        <v>812</v>
      </c>
      <c r="G24" s="1016">
        <v>173</v>
      </c>
      <c r="H24" s="1016">
        <f>1103+14060+4049+1135</f>
        <v>20347</v>
      </c>
      <c r="I24" s="1016"/>
      <c r="J24" s="1016"/>
      <c r="K24" s="1016"/>
      <c r="L24" s="1673"/>
      <c r="M24" s="1016"/>
      <c r="N24" s="1016"/>
      <c r="O24" s="1016"/>
      <c r="P24" s="1673"/>
      <c r="Q24" s="1674"/>
    </row>
    <row r="25" spans="1:17" ht="15" customHeight="1">
      <c r="A25" s="1638" t="s">
        <v>158</v>
      </c>
      <c r="B25" s="1671" t="s">
        <v>594</v>
      </c>
      <c r="C25" s="1673">
        <v>53163</v>
      </c>
      <c r="D25" s="1711">
        <v>48373</v>
      </c>
      <c r="E25" s="1672">
        <f t="shared" si="0"/>
        <v>49411</v>
      </c>
      <c r="F25" s="1016">
        <f>982+59</f>
        <v>1041</v>
      </c>
      <c r="G25" s="1016">
        <v>263</v>
      </c>
      <c r="H25" s="1016">
        <f>2385+34129+9589+1938</f>
        <v>48041</v>
      </c>
      <c r="I25" s="1016"/>
      <c r="J25" s="1016"/>
      <c r="K25" s="1016"/>
      <c r="L25" s="1673"/>
      <c r="M25" s="1016">
        <v>66</v>
      </c>
      <c r="N25" s="1016"/>
      <c r="O25" s="1016"/>
      <c r="P25" s="1673"/>
      <c r="Q25" s="1674"/>
    </row>
    <row r="26" spans="1:17" ht="15" customHeight="1">
      <c r="A26" s="1638" t="s">
        <v>159</v>
      </c>
      <c r="B26" s="1671" t="s">
        <v>595</v>
      </c>
      <c r="C26" s="1673">
        <v>38519</v>
      </c>
      <c r="D26" s="1711">
        <v>44058</v>
      </c>
      <c r="E26" s="1672">
        <f t="shared" si="0"/>
        <v>39835</v>
      </c>
      <c r="F26" s="1016">
        <f>781+218</f>
        <v>999</v>
      </c>
      <c r="G26" s="1016">
        <v>211</v>
      </c>
      <c r="H26" s="1016">
        <f>1295+32641+4060+628+1</f>
        <v>38625</v>
      </c>
      <c r="I26" s="1016"/>
      <c r="J26" s="1016"/>
      <c r="K26" s="1016"/>
      <c r="L26" s="1673"/>
      <c r="M26" s="1016"/>
      <c r="N26" s="1016"/>
      <c r="O26" s="1016"/>
      <c r="P26" s="1673"/>
      <c r="Q26" s="1674"/>
    </row>
    <row r="27" spans="1:17" ht="15" customHeight="1">
      <c r="A27" s="1638" t="s">
        <v>160</v>
      </c>
      <c r="B27" s="1671" t="s">
        <v>226</v>
      </c>
      <c r="C27" s="1673">
        <v>79783</v>
      </c>
      <c r="D27" s="1711">
        <v>74921</v>
      </c>
      <c r="E27" s="1672">
        <f t="shared" si="0"/>
        <v>72404</v>
      </c>
      <c r="F27" s="1016">
        <f>1252+44</f>
        <v>1296</v>
      </c>
      <c r="G27" s="1016">
        <v>277</v>
      </c>
      <c r="H27" s="1016">
        <f>1070+53710+14686+1365</f>
        <v>70831</v>
      </c>
      <c r="I27" s="1016"/>
      <c r="J27" s="1016"/>
      <c r="K27" s="1016"/>
      <c r="L27" s="1673"/>
      <c r="M27" s="1016"/>
      <c r="N27" s="1016"/>
      <c r="O27" s="1016"/>
      <c r="P27" s="1673"/>
      <c r="Q27" s="1674"/>
    </row>
    <row r="28" spans="1:17" ht="15" customHeight="1">
      <c r="A28" s="1638" t="s">
        <v>161</v>
      </c>
      <c r="B28" s="1671" t="s">
        <v>596</v>
      </c>
      <c r="C28" s="1673">
        <v>21892</v>
      </c>
      <c r="D28" s="1711">
        <v>24353</v>
      </c>
      <c r="E28" s="1672">
        <f t="shared" si="0"/>
        <v>24880</v>
      </c>
      <c r="F28" s="1016">
        <v>944</v>
      </c>
      <c r="G28" s="1016">
        <v>215</v>
      </c>
      <c r="H28" s="1016">
        <f>1291+16789+4533+1101</f>
        <v>23714</v>
      </c>
      <c r="I28" s="1016"/>
      <c r="J28" s="1016"/>
      <c r="K28" s="1016"/>
      <c r="L28" s="1673">
        <v>7</v>
      </c>
      <c r="M28" s="1016"/>
      <c r="N28" s="1016"/>
      <c r="O28" s="1016"/>
      <c r="P28" s="1673"/>
      <c r="Q28" s="1674"/>
    </row>
    <row r="29" spans="1:17" ht="15" customHeight="1">
      <c r="A29" s="1638" t="s">
        <v>162</v>
      </c>
      <c r="B29" s="1671" t="s">
        <v>597</v>
      </c>
      <c r="C29" s="1673">
        <v>21465</v>
      </c>
      <c r="D29" s="1711">
        <v>21009</v>
      </c>
      <c r="E29" s="1672">
        <f t="shared" si="0"/>
        <v>23005</v>
      </c>
      <c r="F29" s="1016">
        <f>745+10</f>
        <v>755</v>
      </c>
      <c r="G29" s="1016">
        <v>180</v>
      </c>
      <c r="H29" s="1016">
        <f>1764+14289+4342+859</f>
        <v>21254</v>
      </c>
      <c r="I29" s="1016"/>
      <c r="J29" s="1016"/>
      <c r="K29" s="1016"/>
      <c r="L29" s="1673">
        <v>816</v>
      </c>
      <c r="M29" s="1016"/>
      <c r="N29" s="1016"/>
      <c r="O29" s="1016"/>
      <c r="P29" s="1673"/>
      <c r="Q29" s="1674"/>
    </row>
    <row r="30" spans="1:17" ht="15" customHeight="1">
      <c r="A30" s="1638" t="s">
        <v>163</v>
      </c>
      <c r="B30" s="1671" t="s">
        <v>34</v>
      </c>
      <c r="C30" s="1673">
        <v>64782</v>
      </c>
      <c r="D30" s="1711">
        <v>60520</v>
      </c>
      <c r="E30" s="1672">
        <f t="shared" si="0"/>
        <v>57439</v>
      </c>
      <c r="F30" s="1016">
        <f>1162+818</f>
        <v>1980</v>
      </c>
      <c r="G30" s="1016">
        <v>458</v>
      </c>
      <c r="H30" s="1016">
        <f>3061+39805+11575+560</f>
        <v>55001</v>
      </c>
      <c r="I30" s="1016"/>
      <c r="J30" s="1016"/>
      <c r="K30" s="1016"/>
      <c r="L30" s="1673"/>
      <c r="M30" s="1016"/>
      <c r="N30" s="1016"/>
      <c r="O30" s="1016"/>
      <c r="P30" s="1673"/>
      <c r="Q30" s="1674"/>
    </row>
    <row r="31" spans="1:17" ht="15" customHeight="1">
      <c r="A31" s="1638" t="s">
        <v>164</v>
      </c>
      <c r="B31" s="1671" t="s">
        <v>598</v>
      </c>
      <c r="C31" s="1673">
        <v>19040</v>
      </c>
      <c r="D31" s="1711">
        <v>18800</v>
      </c>
      <c r="E31" s="1672">
        <f t="shared" si="0"/>
        <v>21194</v>
      </c>
      <c r="F31" s="1016">
        <f>1720</f>
        <v>1720</v>
      </c>
      <c r="G31" s="1016">
        <v>413</v>
      </c>
      <c r="H31" s="1016">
        <f>1231+13050+3859+831</f>
        <v>18971</v>
      </c>
      <c r="I31" s="1016"/>
      <c r="J31" s="1016"/>
      <c r="K31" s="1016"/>
      <c r="L31" s="1673"/>
      <c r="M31" s="1016">
        <v>90</v>
      </c>
      <c r="N31" s="1016"/>
      <c r="O31" s="1016"/>
      <c r="P31" s="1673"/>
      <c r="Q31" s="1674"/>
    </row>
    <row r="32" spans="1:17" ht="15" customHeight="1">
      <c r="A32" s="1638" t="s">
        <v>165</v>
      </c>
      <c r="B32" s="1671" t="s">
        <v>599</v>
      </c>
      <c r="C32" s="1673">
        <v>39455</v>
      </c>
      <c r="D32" s="1711">
        <v>40848</v>
      </c>
      <c r="E32" s="1672">
        <f t="shared" si="0"/>
        <v>41686</v>
      </c>
      <c r="F32" s="1016">
        <f>1082+24</f>
        <v>1106</v>
      </c>
      <c r="G32" s="1008">
        <v>288</v>
      </c>
      <c r="H32" s="1016">
        <f>1771+28352+8509+1660</f>
        <v>40292</v>
      </c>
      <c r="I32" s="1016"/>
      <c r="J32" s="1016"/>
      <c r="K32" s="1016"/>
      <c r="L32" s="1673"/>
      <c r="M32" s="1016"/>
      <c r="N32" s="1016"/>
      <c r="O32" s="1016"/>
      <c r="P32" s="1673"/>
      <c r="Q32" s="1674"/>
    </row>
    <row r="33" spans="1:17" ht="15" customHeight="1">
      <c r="A33" s="1638" t="s">
        <v>166</v>
      </c>
      <c r="B33" s="1671" t="s">
        <v>600</v>
      </c>
      <c r="C33" s="1673">
        <v>27411</v>
      </c>
      <c r="D33" s="1711">
        <v>32531</v>
      </c>
      <c r="E33" s="1672">
        <f t="shared" si="0"/>
        <v>35749</v>
      </c>
      <c r="F33" s="1016">
        <f>1363+2002</f>
        <v>3365</v>
      </c>
      <c r="G33" s="1016">
        <v>872</v>
      </c>
      <c r="H33" s="1016">
        <f>1158+23089+6444+821</f>
        <v>31512</v>
      </c>
      <c r="I33" s="1016"/>
      <c r="J33" s="1016"/>
      <c r="K33" s="1016"/>
      <c r="L33" s="1673"/>
      <c r="M33" s="1016"/>
      <c r="N33" s="1016"/>
      <c r="O33" s="1016"/>
      <c r="P33" s="1673"/>
      <c r="Q33" s="1674"/>
    </row>
    <row r="34" spans="1:17" ht="15" customHeight="1">
      <c r="A34" s="1638" t="s">
        <v>446</v>
      </c>
      <c r="B34" s="1671" t="s">
        <v>601</v>
      </c>
      <c r="C34" s="1673">
        <v>20280</v>
      </c>
      <c r="D34" s="1711">
        <v>20407</v>
      </c>
      <c r="E34" s="1672">
        <f t="shared" si="0"/>
        <v>25424</v>
      </c>
      <c r="F34" s="1016">
        <f>707+2788</f>
        <v>3495</v>
      </c>
      <c r="G34" s="1016">
        <v>766</v>
      </c>
      <c r="H34" s="1016">
        <f>1445+14406+4288+1023+1</f>
        <v>21163</v>
      </c>
      <c r="I34" s="1016"/>
      <c r="J34" s="1016"/>
      <c r="K34" s="1016"/>
      <c r="L34" s="1673"/>
      <c r="M34" s="1016"/>
      <c r="N34" s="1016"/>
      <c r="O34" s="1016"/>
      <c r="P34" s="1673"/>
      <c r="Q34" s="1674"/>
    </row>
    <row r="35" spans="1:17" ht="12.75">
      <c r="A35" s="1638"/>
      <c r="B35" s="1679"/>
      <c r="C35" s="1779"/>
      <c r="D35" s="2009"/>
      <c r="E35" s="1672"/>
      <c r="F35" s="1016"/>
      <c r="G35" s="1016"/>
      <c r="H35" s="1016"/>
      <c r="I35" s="1016"/>
      <c r="J35" s="1016"/>
      <c r="K35" s="1016"/>
      <c r="L35" s="1673"/>
      <c r="M35" s="1016"/>
      <c r="N35" s="1016"/>
      <c r="O35" s="1016"/>
      <c r="P35" s="1673"/>
      <c r="Q35" s="1674"/>
    </row>
    <row r="36" spans="1:17" ht="19.5" customHeight="1">
      <c r="A36" s="2025"/>
      <c r="B36" s="2039" t="s">
        <v>602</v>
      </c>
      <c r="C36" s="2031">
        <f>SUM(C21:C35)</f>
        <v>559917</v>
      </c>
      <c r="D36" s="2030">
        <f>SUM(D21:D35)</f>
        <v>553215</v>
      </c>
      <c r="E36" s="2021">
        <f aca="true" t="shared" si="1" ref="E36:Q36">SUM(E21:E35)</f>
        <v>554794</v>
      </c>
      <c r="F36" s="2035">
        <f t="shared" si="1"/>
        <v>20251</v>
      </c>
      <c r="G36" s="2036">
        <f t="shared" si="1"/>
        <v>4787</v>
      </c>
      <c r="H36" s="2036">
        <f t="shared" si="1"/>
        <v>528777</v>
      </c>
      <c r="I36" s="2035">
        <f t="shared" si="1"/>
        <v>0</v>
      </c>
      <c r="J36" s="2036">
        <f t="shared" si="1"/>
        <v>0</v>
      </c>
      <c r="K36" s="2035">
        <f t="shared" si="1"/>
        <v>0</v>
      </c>
      <c r="L36" s="2022">
        <f t="shared" si="1"/>
        <v>823</v>
      </c>
      <c r="M36" s="2036">
        <f t="shared" si="1"/>
        <v>156</v>
      </c>
      <c r="N36" s="2035">
        <f t="shared" si="1"/>
        <v>0</v>
      </c>
      <c r="O36" s="2036">
        <f t="shared" si="1"/>
        <v>0</v>
      </c>
      <c r="P36" s="2022">
        <f t="shared" si="1"/>
        <v>0</v>
      </c>
      <c r="Q36" s="2021">
        <f t="shared" si="1"/>
        <v>0</v>
      </c>
    </row>
    <row r="37" spans="1:17" ht="12.75">
      <c r="A37" s="1624"/>
      <c r="B37" s="1623"/>
      <c r="C37" s="1673"/>
      <c r="D37" s="1711"/>
      <c r="E37" s="1672"/>
      <c r="F37" s="1016"/>
      <c r="G37" s="1016"/>
      <c r="H37" s="1016"/>
      <c r="I37" s="1016"/>
      <c r="J37" s="1016"/>
      <c r="K37" s="1016"/>
      <c r="L37" s="1673"/>
      <c r="M37" s="1016"/>
      <c r="N37" s="1016"/>
      <c r="O37" s="1016"/>
      <c r="P37" s="1673"/>
      <c r="Q37" s="1674"/>
    </row>
    <row r="38" spans="1:17" ht="15" customHeight="1">
      <c r="A38" s="1638" t="s">
        <v>482</v>
      </c>
      <c r="B38" s="1671" t="s">
        <v>603</v>
      </c>
      <c r="C38" s="1673">
        <v>5229</v>
      </c>
      <c r="D38" s="1711">
        <v>6138</v>
      </c>
      <c r="E38" s="1672">
        <f>SUM(F38:Q38)</f>
        <v>5254</v>
      </c>
      <c r="F38" s="1016">
        <f>30+177</f>
        <v>207</v>
      </c>
      <c r="G38" s="1016">
        <v>45</v>
      </c>
      <c r="H38" s="1016">
        <f>885+1959+994+719+1</f>
        <v>4558</v>
      </c>
      <c r="I38" s="1016"/>
      <c r="J38" s="1016"/>
      <c r="K38" s="1016"/>
      <c r="L38" s="1673">
        <v>444</v>
      </c>
      <c r="M38" s="1016"/>
      <c r="N38" s="1016"/>
      <c r="O38" s="1016"/>
      <c r="P38" s="1673"/>
      <c r="Q38" s="1674"/>
    </row>
    <row r="39" spans="1:17" ht="15" customHeight="1">
      <c r="A39" s="1638" t="s">
        <v>155</v>
      </c>
      <c r="B39" s="1671" t="s">
        <v>604</v>
      </c>
      <c r="C39" s="1673">
        <v>4896</v>
      </c>
      <c r="D39" s="1711">
        <v>4896</v>
      </c>
      <c r="E39" s="1672">
        <f>SUM(F39:Q39)</f>
        <v>5163</v>
      </c>
      <c r="F39" s="1016">
        <f>608+254</f>
        <v>862</v>
      </c>
      <c r="G39" s="1016">
        <v>167</v>
      </c>
      <c r="H39" s="1016">
        <f>196+2372+688+878</f>
        <v>4134</v>
      </c>
      <c r="I39" s="1016"/>
      <c r="J39" s="1016"/>
      <c r="K39" s="1016"/>
      <c r="L39" s="1673"/>
      <c r="M39" s="1016"/>
      <c r="N39" s="1016"/>
      <c r="O39" s="1016"/>
      <c r="P39" s="1673"/>
      <c r="Q39" s="1674"/>
    </row>
    <row r="40" spans="1:17" ht="15" customHeight="1">
      <c r="A40" s="1638" t="s">
        <v>156</v>
      </c>
      <c r="B40" s="1671" t="s">
        <v>605</v>
      </c>
      <c r="C40" s="1673">
        <v>11507</v>
      </c>
      <c r="D40" s="1711">
        <v>15123</v>
      </c>
      <c r="E40" s="1672">
        <f>SUM(F40:Q40)</f>
        <v>9804</v>
      </c>
      <c r="F40" s="1016">
        <v>58</v>
      </c>
      <c r="G40" s="1016">
        <v>23</v>
      </c>
      <c r="H40" s="1016">
        <f>1180+3589+4797+156+1</f>
        <v>9723</v>
      </c>
      <c r="I40" s="1016"/>
      <c r="J40" s="1016"/>
      <c r="K40" s="1016"/>
      <c r="L40" s="1673"/>
      <c r="M40" s="1016"/>
      <c r="N40" s="1016"/>
      <c r="O40" s="1016"/>
      <c r="P40" s="1673"/>
      <c r="Q40" s="1674"/>
    </row>
    <row r="41" spans="1:17" ht="12.75">
      <c r="A41" s="1638"/>
      <c r="B41" s="1623"/>
      <c r="C41" s="1673"/>
      <c r="D41" s="2010"/>
      <c r="E41" s="1672"/>
      <c r="F41" s="1016"/>
      <c r="G41" s="1016"/>
      <c r="H41" s="1016"/>
      <c r="I41" s="1016"/>
      <c r="J41" s="1016"/>
      <c r="K41" s="1016"/>
      <c r="L41" s="1673"/>
      <c r="M41" s="1016"/>
      <c r="N41" s="1016"/>
      <c r="O41" s="1016"/>
      <c r="P41" s="1673"/>
      <c r="Q41" s="1674"/>
    </row>
    <row r="42" spans="1:17" ht="19.5" customHeight="1">
      <c r="A42" s="2025"/>
      <c r="B42" s="2039" t="s">
        <v>211</v>
      </c>
      <c r="C42" s="2031">
        <f>SUM(C38:C41)</f>
        <v>21632</v>
      </c>
      <c r="D42" s="2030">
        <f>SUM(D38:D41)</f>
        <v>26157</v>
      </c>
      <c r="E42" s="2021">
        <f aca="true" t="shared" si="2" ref="E42:Q42">SUM(E38:E41)</f>
        <v>20221</v>
      </c>
      <c r="F42" s="2035">
        <f t="shared" si="2"/>
        <v>1127</v>
      </c>
      <c r="G42" s="2036">
        <f t="shared" si="2"/>
        <v>235</v>
      </c>
      <c r="H42" s="2035">
        <f t="shared" si="2"/>
        <v>18415</v>
      </c>
      <c r="I42" s="2036">
        <f t="shared" si="2"/>
        <v>0</v>
      </c>
      <c r="J42" s="2036">
        <f t="shared" si="2"/>
        <v>0</v>
      </c>
      <c r="K42" s="2035">
        <f t="shared" si="2"/>
        <v>0</v>
      </c>
      <c r="L42" s="2022">
        <f t="shared" si="2"/>
        <v>444</v>
      </c>
      <c r="M42" s="2036">
        <f t="shared" si="2"/>
        <v>0</v>
      </c>
      <c r="N42" s="2036">
        <f t="shared" si="2"/>
        <v>0</v>
      </c>
      <c r="O42" s="2036">
        <f t="shared" si="2"/>
        <v>0</v>
      </c>
      <c r="P42" s="2022">
        <f t="shared" si="2"/>
        <v>0</v>
      </c>
      <c r="Q42" s="2021">
        <f t="shared" si="2"/>
        <v>0</v>
      </c>
    </row>
    <row r="43" spans="1:17" ht="12.75">
      <c r="A43" s="1685"/>
      <c r="B43" s="1686"/>
      <c r="C43" s="1780"/>
      <c r="D43" s="1712"/>
      <c r="E43" s="1687"/>
      <c r="F43" s="1021"/>
      <c r="G43" s="1021"/>
      <c r="H43" s="1021"/>
      <c r="I43" s="1021"/>
      <c r="J43" s="1021"/>
      <c r="K43" s="1021"/>
      <c r="L43" s="1688"/>
      <c r="M43" s="1021"/>
      <c r="N43" s="1021"/>
      <c r="O43" s="1021"/>
      <c r="P43" s="1688"/>
      <c r="Q43" s="1689"/>
    </row>
    <row r="44" spans="1:17" ht="12.75">
      <c r="A44" s="1685"/>
      <c r="B44" s="1686"/>
      <c r="C44" s="1780"/>
      <c r="D44" s="1712"/>
      <c r="E44" s="1687"/>
      <c r="F44" s="1016"/>
      <c r="G44" s="1016"/>
      <c r="H44" s="1016"/>
      <c r="I44" s="1016"/>
      <c r="J44" s="1016"/>
      <c r="K44" s="1016"/>
      <c r="L44" s="1673"/>
      <c r="M44" s="1016"/>
      <c r="N44" s="1016"/>
      <c r="O44" s="1016"/>
      <c r="P44" s="1673"/>
      <c r="Q44" s="1674"/>
    </row>
    <row r="45" spans="1:17" ht="12.75" hidden="1">
      <c r="A45" s="1624"/>
      <c r="B45" s="1690"/>
      <c r="C45" s="1781"/>
      <c r="D45" s="1713"/>
      <c r="E45" s="1672"/>
      <c r="F45" s="1016"/>
      <c r="G45" s="1016"/>
      <c r="H45" s="1016"/>
      <c r="I45" s="1016"/>
      <c r="J45" s="1016"/>
      <c r="K45" s="1016"/>
      <c r="L45" s="1673"/>
      <c r="M45" s="1016"/>
      <c r="N45" s="1016"/>
      <c r="O45" s="1016"/>
      <c r="P45" s="1673"/>
      <c r="Q45" s="1674"/>
    </row>
    <row r="46" spans="1:17" ht="12.75" hidden="1">
      <c r="A46" s="1624"/>
      <c r="B46" s="1690"/>
      <c r="C46" s="1781"/>
      <c r="D46" s="1713"/>
      <c r="E46" s="1672"/>
      <c r="F46" s="1016"/>
      <c r="G46" s="1016"/>
      <c r="H46" s="1016"/>
      <c r="I46" s="1016"/>
      <c r="J46" s="1016"/>
      <c r="K46" s="1016"/>
      <c r="L46" s="1673"/>
      <c r="M46" s="1016"/>
      <c r="N46" s="1016"/>
      <c r="O46" s="1016"/>
      <c r="P46" s="1673"/>
      <c r="Q46" s="1674"/>
    </row>
    <row r="47" spans="1:17" ht="12.75" hidden="1">
      <c r="A47" s="1624"/>
      <c r="B47" s="1691"/>
      <c r="C47" s="1782"/>
      <c r="D47" s="1714"/>
      <c r="E47" s="1672"/>
      <c r="F47" s="1016"/>
      <c r="G47" s="1016"/>
      <c r="H47" s="1016"/>
      <c r="I47" s="1016"/>
      <c r="J47" s="1016"/>
      <c r="K47" s="1016"/>
      <c r="L47" s="1673"/>
      <c r="M47" s="1016"/>
      <c r="N47" s="1016"/>
      <c r="O47" s="1016"/>
      <c r="P47" s="1673"/>
      <c r="Q47" s="1674"/>
    </row>
    <row r="48" spans="1:18" ht="19.5" customHeight="1" thickBot="1">
      <c r="A48" s="2061"/>
      <c r="B48" s="2062" t="s">
        <v>588</v>
      </c>
      <c r="C48" s="2113">
        <f>C36+C42</f>
        <v>581549</v>
      </c>
      <c r="D48" s="2114">
        <f>D36+D42</f>
        <v>579372</v>
      </c>
      <c r="E48" s="2065">
        <f aca="true" t="shared" si="3" ref="E48:Q48">E36+E42</f>
        <v>575015</v>
      </c>
      <c r="F48" s="2066">
        <f t="shared" si="3"/>
        <v>21378</v>
      </c>
      <c r="G48" s="2067">
        <f t="shared" si="3"/>
        <v>5022</v>
      </c>
      <c r="H48" s="2067">
        <f t="shared" si="3"/>
        <v>547192</v>
      </c>
      <c r="I48" s="2067">
        <f t="shared" si="3"/>
        <v>0</v>
      </c>
      <c r="J48" s="2067">
        <f t="shared" si="3"/>
        <v>0</v>
      </c>
      <c r="K48" s="2065">
        <f t="shared" si="3"/>
        <v>0</v>
      </c>
      <c r="L48" s="2070">
        <f t="shared" si="3"/>
        <v>1267</v>
      </c>
      <c r="M48" s="2067">
        <f t="shared" si="3"/>
        <v>156</v>
      </c>
      <c r="N48" s="2067">
        <f t="shared" si="3"/>
        <v>0</v>
      </c>
      <c r="O48" s="2067">
        <f t="shared" si="3"/>
        <v>0</v>
      </c>
      <c r="P48" s="2070">
        <f t="shared" si="3"/>
        <v>0</v>
      </c>
      <c r="Q48" s="2065">
        <f t="shared" si="3"/>
        <v>0</v>
      </c>
      <c r="R48" s="1020"/>
    </row>
    <row r="49" spans="5:17" ht="12.75">
      <c r="E49" s="1017"/>
      <c r="F49" s="1008"/>
      <c r="G49" s="1008"/>
      <c r="H49" s="1008"/>
      <c r="I49" s="1008"/>
      <c r="J49" s="1008"/>
      <c r="K49" s="1008"/>
      <c r="L49" s="1008"/>
      <c r="M49" s="1008"/>
      <c r="N49" s="1008"/>
      <c r="O49" s="1008"/>
      <c r="P49" s="1008"/>
      <c r="Q49" s="1008"/>
    </row>
    <row r="50" spans="1:17" ht="12.75">
      <c r="A50" s="1015"/>
      <c r="B50" s="1016"/>
      <c r="C50" s="1016"/>
      <c r="D50" s="1016"/>
      <c r="E50" s="1017"/>
      <c r="F50" s="1008"/>
      <c r="G50" s="1008"/>
      <c r="H50" s="1008"/>
      <c r="I50" s="1008"/>
      <c r="J50" s="1008"/>
      <c r="K50" s="1008"/>
      <c r="L50" s="1008"/>
      <c r="M50" s="1019"/>
      <c r="N50" s="1008"/>
      <c r="O50" s="1008"/>
      <c r="P50" s="1008"/>
      <c r="Q50" s="1008"/>
    </row>
    <row r="51" spans="1:17" ht="12.75">
      <c r="A51" s="1015"/>
      <c r="B51" s="1016"/>
      <c r="C51" s="1016"/>
      <c r="D51" s="1016"/>
      <c r="E51" s="1017"/>
      <c r="F51" s="1008"/>
      <c r="G51" s="1008"/>
      <c r="H51" s="1008"/>
      <c r="I51" s="1008"/>
      <c r="J51" s="1008"/>
      <c r="K51" s="1008"/>
      <c r="L51" s="1019"/>
      <c r="M51" s="1008"/>
      <c r="N51" s="1008"/>
      <c r="O51" s="1008"/>
      <c r="P51" s="1008"/>
      <c r="Q51" s="1008"/>
    </row>
    <row r="52" spans="1:17" ht="12.75">
      <c r="A52" s="1015"/>
      <c r="B52" s="1016"/>
      <c r="C52" s="1016"/>
      <c r="D52" s="1016"/>
      <c r="E52" s="1017"/>
      <c r="F52" s="1008"/>
      <c r="G52" s="1008"/>
      <c r="H52" s="1019"/>
      <c r="I52" s="1008"/>
      <c r="J52" s="1008"/>
      <c r="K52" s="1008"/>
      <c r="L52" s="1008"/>
      <c r="M52" s="1019"/>
      <c r="N52" s="1008"/>
      <c r="O52" s="1008"/>
      <c r="P52" s="1008"/>
      <c r="Q52" s="1008"/>
    </row>
    <row r="53" spans="1:17" ht="12.75">
      <c r="A53" s="1015"/>
      <c r="B53" s="1016"/>
      <c r="C53" s="1016"/>
      <c r="D53" s="1016"/>
      <c r="E53" s="1017"/>
      <c r="F53" s="1008"/>
      <c r="G53" s="1008"/>
      <c r="H53" s="1008"/>
      <c r="I53" s="1008"/>
      <c r="J53" s="1008"/>
      <c r="K53" s="1008"/>
      <c r="L53" s="1019"/>
      <c r="M53" s="1019"/>
      <c r="N53" s="1008"/>
      <c r="O53" s="1008"/>
      <c r="P53" s="1008"/>
      <c r="Q53" s="1008"/>
    </row>
    <row r="54" spans="1:17" ht="12.75">
      <c r="A54" s="1015"/>
      <c r="B54" s="1016"/>
      <c r="C54" s="1016"/>
      <c r="D54" s="1016"/>
      <c r="E54" s="1018"/>
      <c r="F54" s="1008"/>
      <c r="G54" s="1008"/>
      <c r="H54" s="1008"/>
      <c r="I54" s="1008"/>
      <c r="J54" s="1008"/>
      <c r="K54" s="1008"/>
      <c r="L54" s="1008"/>
      <c r="M54" s="1019"/>
      <c r="N54" s="1008"/>
      <c r="O54" s="1008"/>
      <c r="P54" s="1008"/>
      <c r="Q54" s="1008"/>
    </row>
    <row r="55" spans="2:17" ht="12.75">
      <c r="B55" s="1016"/>
      <c r="C55" s="1016"/>
      <c r="D55" s="1016"/>
      <c r="E55" s="1017"/>
      <c r="F55" s="1008"/>
      <c r="G55" s="1008"/>
      <c r="H55" s="1008"/>
      <c r="I55" s="1019"/>
      <c r="J55" s="1008"/>
      <c r="K55" s="1008"/>
      <c r="L55" s="1008"/>
      <c r="M55" s="1008"/>
      <c r="N55" s="1008"/>
      <c r="O55" s="1008"/>
      <c r="P55" s="1008"/>
      <c r="Q55" s="1008"/>
    </row>
    <row r="56" spans="2:17" ht="12.75">
      <c r="B56" s="1016"/>
      <c r="C56" s="1016"/>
      <c r="D56" s="1016"/>
      <c r="E56" s="1018"/>
      <c r="F56" s="1008"/>
      <c r="G56" s="1008"/>
      <c r="H56" s="1019"/>
      <c r="I56" s="1008"/>
      <c r="J56" s="1008"/>
      <c r="K56" s="1008"/>
      <c r="L56" s="1008"/>
      <c r="M56" s="1008"/>
      <c r="N56" s="1008"/>
      <c r="O56" s="1008"/>
      <c r="P56" s="1008"/>
      <c r="Q56" s="1008"/>
    </row>
    <row r="57" spans="2:17" ht="12.75">
      <c r="B57" s="1016"/>
      <c r="C57" s="1016"/>
      <c r="D57" s="1016"/>
      <c r="E57" s="1018"/>
      <c r="F57" s="1008"/>
      <c r="G57" s="1008"/>
      <c r="H57" s="1008"/>
      <c r="I57" s="1008"/>
      <c r="J57" s="1008"/>
      <c r="K57" s="1008"/>
      <c r="L57" s="1008"/>
      <c r="M57" s="1008"/>
      <c r="N57" s="1008"/>
      <c r="O57" s="1008"/>
      <c r="P57" s="1008"/>
      <c r="Q57" s="1008"/>
    </row>
    <row r="58" spans="2:17" ht="12.75">
      <c r="B58" s="1016"/>
      <c r="C58" s="1016"/>
      <c r="D58" s="1016"/>
      <c r="E58" s="1018"/>
      <c r="F58" s="1008"/>
      <c r="G58" s="1008"/>
      <c r="H58" s="1008"/>
      <c r="I58" s="1008"/>
      <c r="J58" s="1008"/>
      <c r="K58" s="1008"/>
      <c r="L58" s="1008"/>
      <c r="M58" s="1008"/>
      <c r="N58" s="1008"/>
      <c r="O58" s="1008"/>
      <c r="P58" s="1008"/>
      <c r="Q58" s="1008"/>
    </row>
    <row r="59" spans="3:19" ht="12.75">
      <c r="C59" s="1020"/>
      <c r="E59" s="1018"/>
      <c r="F59" s="1018"/>
      <c r="G59" s="1018"/>
      <c r="H59" s="1018"/>
      <c r="I59" s="1018"/>
      <c r="J59" s="1018"/>
      <c r="K59" s="1018"/>
      <c r="L59" s="1018"/>
      <c r="M59" s="1018"/>
      <c r="N59" s="1018"/>
      <c r="O59" s="1018"/>
      <c r="P59" s="1018"/>
      <c r="Q59" s="1018"/>
      <c r="R59" s="1007"/>
      <c r="S59" s="1007"/>
    </row>
    <row r="60" spans="3:19" ht="12.75">
      <c r="C60" s="1020"/>
      <c r="E60" s="1018"/>
      <c r="F60" s="1018"/>
      <c r="G60" s="1018"/>
      <c r="H60" s="1018"/>
      <c r="I60" s="1018"/>
      <c r="J60" s="1018"/>
      <c r="K60" s="1018"/>
      <c r="L60" s="1018"/>
      <c r="M60" s="1018"/>
      <c r="N60" s="1018"/>
      <c r="O60" s="1018"/>
      <c r="P60" s="1018"/>
      <c r="Q60" s="1018"/>
      <c r="R60" s="1007"/>
      <c r="S60" s="1007"/>
    </row>
    <row r="61" spans="3:19" ht="12.75">
      <c r="C61" s="1020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07"/>
      <c r="S61" s="1007"/>
    </row>
    <row r="62" spans="3:19" ht="12.75">
      <c r="C62" s="1020"/>
      <c r="E62" s="1018"/>
      <c r="F62" s="1018"/>
      <c r="G62" s="1018"/>
      <c r="H62" s="1018"/>
      <c r="I62" s="1018"/>
      <c r="J62" s="1018"/>
      <c r="K62" s="1018"/>
      <c r="L62" s="1018"/>
      <c r="M62" s="1018"/>
      <c r="N62" s="1018"/>
      <c r="O62" s="1018"/>
      <c r="P62" s="1018"/>
      <c r="Q62" s="1018"/>
      <c r="R62" s="1007"/>
      <c r="S62" s="1007"/>
    </row>
    <row r="63" spans="3:19" ht="12.75">
      <c r="C63" s="1020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07"/>
      <c r="S63" s="1007"/>
    </row>
    <row r="64" spans="3:19" ht="12.75">
      <c r="C64" s="1020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07"/>
      <c r="S64" s="1007"/>
    </row>
    <row r="65" spans="3:19" ht="12.75">
      <c r="C65" s="1020"/>
      <c r="E65" s="1018"/>
      <c r="F65" s="1018"/>
      <c r="G65" s="1018"/>
      <c r="H65" s="1018"/>
      <c r="I65" s="1018"/>
      <c r="J65" s="1018"/>
      <c r="K65" s="1018"/>
      <c r="L65" s="1018"/>
      <c r="M65" s="1018"/>
      <c r="N65" s="1018"/>
      <c r="O65" s="1018"/>
      <c r="P65" s="1018"/>
      <c r="Q65" s="1018"/>
      <c r="R65" s="1007"/>
      <c r="S65" s="1007"/>
    </row>
    <row r="66" spans="5:19" ht="12.75"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07"/>
      <c r="S66" s="1007"/>
    </row>
    <row r="67" spans="3:19" ht="12.75">
      <c r="C67" s="1020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07"/>
      <c r="S67" s="1007"/>
    </row>
    <row r="68" spans="2:19" ht="12.75">
      <c r="B68" s="1020"/>
      <c r="C68" s="1020"/>
      <c r="D68" s="1020"/>
      <c r="E68" s="1018"/>
      <c r="F68" s="1018"/>
      <c r="G68" s="1018"/>
      <c r="H68" s="1018"/>
      <c r="I68" s="1018"/>
      <c r="J68" s="1018"/>
      <c r="K68" s="1018"/>
      <c r="L68" s="1018"/>
      <c r="M68" s="1018"/>
      <c r="N68" s="1018"/>
      <c r="O68" s="1018"/>
      <c r="P68" s="1018"/>
      <c r="Q68" s="1018"/>
      <c r="R68" s="1007"/>
      <c r="S68" s="1007"/>
    </row>
    <row r="69" spans="3:19" ht="12.75">
      <c r="C69" s="1020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07"/>
      <c r="S69" s="1007"/>
    </row>
    <row r="70" spans="3:19" ht="12.75">
      <c r="C70" s="1020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07"/>
      <c r="S70" s="1007"/>
    </row>
    <row r="71" spans="3:19" ht="12.75">
      <c r="C71" s="1020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/>
      <c r="R71" s="1007"/>
      <c r="S71" s="1007"/>
    </row>
    <row r="72" spans="5:19" ht="12.75"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07"/>
      <c r="S72" s="1007"/>
    </row>
    <row r="73" spans="2:19" ht="12.75">
      <c r="B73" s="1006" t="s">
        <v>211</v>
      </c>
      <c r="C73" s="1020">
        <v>26157</v>
      </c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07"/>
      <c r="S73" s="1007"/>
    </row>
    <row r="74" spans="5:19" ht="12.75">
      <c r="E74" s="1018"/>
      <c r="F74" s="1018"/>
      <c r="G74" s="1018"/>
      <c r="H74" s="1018"/>
      <c r="I74" s="1018"/>
      <c r="J74" s="1018"/>
      <c r="K74" s="1018"/>
      <c r="L74" s="1018"/>
      <c r="M74" s="1018"/>
      <c r="N74" s="1018"/>
      <c r="O74" s="1018"/>
      <c r="P74" s="1018"/>
      <c r="Q74" s="1018"/>
      <c r="R74" s="1007"/>
      <c r="S74" s="1007"/>
    </row>
    <row r="75" spans="5:19" ht="12.75"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07"/>
      <c r="S75" s="1007"/>
    </row>
    <row r="76" spans="2:19" ht="12.75">
      <c r="B76" s="1006" t="s">
        <v>588</v>
      </c>
      <c r="C76" s="1020">
        <v>579372</v>
      </c>
      <c r="E76" s="1018"/>
      <c r="F76" s="1018"/>
      <c r="G76" s="1018"/>
      <c r="H76" s="1018"/>
      <c r="I76" s="1018"/>
      <c r="J76" s="1018"/>
      <c r="K76" s="1018"/>
      <c r="L76" s="1018"/>
      <c r="M76" s="1018"/>
      <c r="N76" s="1018"/>
      <c r="O76" s="1018"/>
      <c r="P76" s="1018"/>
      <c r="Q76" s="1018"/>
      <c r="R76" s="1007"/>
      <c r="S76" s="1007"/>
    </row>
    <row r="77" spans="5:19" ht="12.75">
      <c r="E77" s="1018"/>
      <c r="F77" s="1018"/>
      <c r="G77" s="1018"/>
      <c r="H77" s="1018"/>
      <c r="I77" s="1018"/>
      <c r="J77" s="1018"/>
      <c r="K77" s="1018"/>
      <c r="L77" s="1018"/>
      <c r="M77" s="1018"/>
      <c r="N77" s="1018"/>
      <c r="O77" s="1018"/>
      <c r="P77" s="1018"/>
      <c r="Q77" s="1018"/>
      <c r="R77" s="1007"/>
      <c r="S77" s="1007"/>
    </row>
    <row r="78" spans="5:19" ht="12.75"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07"/>
      <c r="S78" s="1007"/>
    </row>
    <row r="79" spans="5:19" ht="12.75"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07"/>
      <c r="S79" s="1007"/>
    </row>
    <row r="80" spans="5:19" ht="12.75">
      <c r="E80" s="1018"/>
      <c r="F80" s="1018"/>
      <c r="G80" s="1018"/>
      <c r="H80" s="1018"/>
      <c r="I80" s="1018"/>
      <c r="J80" s="1018"/>
      <c r="K80" s="1018"/>
      <c r="L80" s="1018"/>
      <c r="M80" s="1018"/>
      <c r="N80" s="1018"/>
      <c r="O80" s="1018"/>
      <c r="P80" s="1018"/>
      <c r="Q80" s="1018"/>
      <c r="R80" s="1007"/>
      <c r="S80" s="1007"/>
    </row>
    <row r="81" spans="5:19" ht="12.75">
      <c r="E81" s="1018"/>
      <c r="F81" s="1018"/>
      <c r="G81" s="1018"/>
      <c r="H81" s="1018"/>
      <c r="I81" s="1018"/>
      <c r="J81" s="1018"/>
      <c r="K81" s="1018"/>
      <c r="L81" s="1018"/>
      <c r="M81" s="1018"/>
      <c r="N81" s="1018"/>
      <c r="O81" s="1018"/>
      <c r="P81" s="1018"/>
      <c r="Q81" s="1018"/>
      <c r="R81" s="1007"/>
      <c r="S81" s="1007"/>
    </row>
    <row r="82" spans="5:19" ht="12.75">
      <c r="E82" s="1018"/>
      <c r="F82" s="1018"/>
      <c r="G82" s="1018"/>
      <c r="H82" s="1018"/>
      <c r="I82" s="1018"/>
      <c r="J82" s="1018"/>
      <c r="K82" s="1018"/>
      <c r="L82" s="1018"/>
      <c r="M82" s="1018"/>
      <c r="N82" s="1018"/>
      <c r="O82" s="1018"/>
      <c r="P82" s="1018"/>
      <c r="Q82" s="1018"/>
      <c r="R82" s="1007"/>
      <c r="S82" s="1007"/>
    </row>
    <row r="83" spans="5:19" ht="12.75">
      <c r="E83" s="1018"/>
      <c r="F83" s="1018"/>
      <c r="G83" s="1018"/>
      <c r="H83" s="1018"/>
      <c r="I83" s="1018"/>
      <c r="J83" s="1018"/>
      <c r="K83" s="1018"/>
      <c r="L83" s="1018"/>
      <c r="M83" s="1018"/>
      <c r="N83" s="1018"/>
      <c r="O83" s="1018"/>
      <c r="P83" s="1018"/>
      <c r="Q83" s="1018"/>
      <c r="R83" s="1007"/>
      <c r="S83" s="1007"/>
    </row>
    <row r="84" spans="5:19" ht="12.75"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07"/>
      <c r="S84" s="1007"/>
    </row>
    <row r="85" spans="5:19" ht="12.75">
      <c r="E85" s="1018"/>
      <c r="F85" s="1018"/>
      <c r="G85" s="1018"/>
      <c r="H85" s="1018"/>
      <c r="I85" s="1018"/>
      <c r="J85" s="1018"/>
      <c r="K85" s="1018"/>
      <c r="L85" s="1018"/>
      <c r="M85" s="1018"/>
      <c r="N85" s="1018"/>
      <c r="O85" s="1018"/>
      <c r="P85" s="1018"/>
      <c r="Q85" s="1018"/>
      <c r="R85" s="1007"/>
      <c r="S85" s="1007"/>
    </row>
    <row r="86" spans="5:19" ht="12.75">
      <c r="E86" s="1018"/>
      <c r="F86" s="1018"/>
      <c r="G86" s="1018"/>
      <c r="H86" s="1018"/>
      <c r="I86" s="1018"/>
      <c r="J86" s="1018"/>
      <c r="K86" s="1018"/>
      <c r="L86" s="1018"/>
      <c r="M86" s="1018"/>
      <c r="N86" s="1018"/>
      <c r="O86" s="1018"/>
      <c r="P86" s="1018"/>
      <c r="Q86" s="1018"/>
      <c r="R86" s="1007"/>
      <c r="S86" s="1007"/>
    </row>
    <row r="87" spans="5:19" ht="12.75">
      <c r="E87" s="1018"/>
      <c r="F87" s="1018"/>
      <c r="G87" s="1018"/>
      <c r="H87" s="1018"/>
      <c r="I87" s="1018"/>
      <c r="J87" s="1018"/>
      <c r="K87" s="1018"/>
      <c r="L87" s="1018"/>
      <c r="M87" s="1018"/>
      <c r="N87" s="1018"/>
      <c r="O87" s="1018"/>
      <c r="P87" s="1018"/>
      <c r="Q87" s="1018"/>
      <c r="R87" s="1007"/>
      <c r="S87" s="1007"/>
    </row>
    <row r="88" spans="5:19" ht="12.75"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07"/>
      <c r="S88" s="1007"/>
    </row>
    <row r="89" spans="5:19" ht="12.75"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07"/>
      <c r="S89" s="1007"/>
    </row>
    <row r="90" spans="5:19" ht="12.75">
      <c r="E90" s="1018"/>
      <c r="F90" s="1018"/>
      <c r="G90" s="1018"/>
      <c r="H90" s="1018"/>
      <c r="I90" s="1018"/>
      <c r="J90" s="1018"/>
      <c r="K90" s="1018"/>
      <c r="L90" s="1018"/>
      <c r="M90" s="1018"/>
      <c r="N90" s="1018"/>
      <c r="O90" s="1018"/>
      <c r="P90" s="1018"/>
      <c r="Q90" s="1018"/>
      <c r="R90" s="1007"/>
      <c r="S90" s="1007"/>
    </row>
    <row r="91" spans="5:19" ht="12.75">
      <c r="E91" s="1018"/>
      <c r="F91" s="1018"/>
      <c r="G91" s="1018"/>
      <c r="H91" s="1018"/>
      <c r="I91" s="1018"/>
      <c r="J91" s="1018"/>
      <c r="K91" s="1018"/>
      <c r="L91" s="1018"/>
      <c r="M91" s="1018"/>
      <c r="N91" s="1018"/>
      <c r="O91" s="1018"/>
      <c r="P91" s="1018"/>
      <c r="Q91" s="1018"/>
      <c r="R91" s="1007"/>
      <c r="S91" s="1007"/>
    </row>
    <row r="92" spans="5:19" ht="12.75">
      <c r="E92" s="1018"/>
      <c r="F92" s="1018"/>
      <c r="G92" s="1018"/>
      <c r="H92" s="1018"/>
      <c r="I92" s="1018"/>
      <c r="J92" s="1018"/>
      <c r="K92" s="1018"/>
      <c r="L92" s="1018"/>
      <c r="M92" s="1018"/>
      <c r="N92" s="1018"/>
      <c r="O92" s="1018"/>
      <c r="P92" s="1018"/>
      <c r="Q92" s="1018"/>
      <c r="R92" s="1007"/>
      <c r="S92" s="1007"/>
    </row>
    <row r="93" spans="5:19" ht="12.75"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7"/>
      <c r="S93" s="1007"/>
    </row>
    <row r="94" spans="5:19" ht="12.75">
      <c r="E94" s="1007"/>
      <c r="F94" s="1007"/>
      <c r="G94" s="1007"/>
      <c r="H94" s="1007"/>
      <c r="I94" s="1007"/>
      <c r="J94" s="1007"/>
      <c r="K94" s="1007"/>
      <c r="L94" s="1007"/>
      <c r="M94" s="1007"/>
      <c r="N94" s="1007"/>
      <c r="O94" s="1007"/>
      <c r="P94" s="1007"/>
      <c r="Q94" s="1007"/>
      <c r="R94" s="1007"/>
      <c r="S94" s="1007"/>
    </row>
    <row r="95" spans="5:19" ht="12.75">
      <c r="E95" s="1007"/>
      <c r="F95" s="1007"/>
      <c r="G95" s="1007"/>
      <c r="H95" s="1007"/>
      <c r="I95" s="1007"/>
      <c r="J95" s="1007"/>
      <c r="K95" s="1007"/>
      <c r="L95" s="1007"/>
      <c r="M95" s="1007"/>
      <c r="N95" s="1007"/>
      <c r="O95" s="1007"/>
      <c r="P95" s="1007"/>
      <c r="Q95" s="1007"/>
      <c r="R95" s="1007"/>
      <c r="S95" s="1007"/>
    </row>
    <row r="96" spans="5:19" ht="12.75">
      <c r="E96" s="1007"/>
      <c r="F96" s="1007"/>
      <c r="G96" s="1007"/>
      <c r="H96" s="1007"/>
      <c r="I96" s="1007"/>
      <c r="J96" s="1007"/>
      <c r="K96" s="1007"/>
      <c r="L96" s="1007"/>
      <c r="M96" s="1007"/>
      <c r="N96" s="1007"/>
      <c r="O96" s="1007"/>
      <c r="P96" s="1007"/>
      <c r="Q96" s="1007"/>
      <c r="R96" s="1007"/>
      <c r="S96" s="1007"/>
    </row>
    <row r="97" spans="5:19" ht="12.75">
      <c r="E97" s="1007"/>
      <c r="F97" s="1007"/>
      <c r="G97" s="1007"/>
      <c r="H97" s="1007"/>
      <c r="I97" s="1007"/>
      <c r="J97" s="1007"/>
      <c r="K97" s="1007"/>
      <c r="L97" s="1007"/>
      <c r="M97" s="1007"/>
      <c r="N97" s="1007"/>
      <c r="O97" s="1007"/>
      <c r="P97" s="1007"/>
      <c r="Q97" s="1007"/>
      <c r="R97" s="1007"/>
      <c r="S97" s="1007"/>
    </row>
    <row r="98" spans="5:19" ht="12.75">
      <c r="E98" s="1007"/>
      <c r="F98" s="1007"/>
      <c r="G98" s="1007"/>
      <c r="H98" s="1007"/>
      <c r="I98" s="1007"/>
      <c r="J98" s="1007"/>
      <c r="K98" s="1007"/>
      <c r="L98" s="1007"/>
      <c r="M98" s="1007"/>
      <c r="N98" s="1007"/>
      <c r="O98" s="1007"/>
      <c r="P98" s="1007"/>
      <c r="Q98" s="1007"/>
      <c r="R98" s="1007"/>
      <c r="S98" s="1007"/>
    </row>
    <row r="99" spans="5:19" ht="12.75">
      <c r="E99" s="1007"/>
      <c r="F99" s="1007"/>
      <c r="G99" s="1007"/>
      <c r="H99" s="1007"/>
      <c r="I99" s="1007"/>
      <c r="J99" s="1007"/>
      <c r="K99" s="1007"/>
      <c r="L99" s="1007"/>
      <c r="M99" s="1007"/>
      <c r="N99" s="1007"/>
      <c r="O99" s="1007"/>
      <c r="P99" s="1007"/>
      <c r="Q99" s="1007"/>
      <c r="R99" s="1007"/>
      <c r="S99" s="1007"/>
    </row>
    <row r="100" spans="5:19" ht="12.75">
      <c r="E100" s="1007"/>
      <c r="F100" s="1007"/>
      <c r="G100" s="1007"/>
      <c r="H100" s="1007"/>
      <c r="I100" s="1007"/>
      <c r="J100" s="1007"/>
      <c r="K100" s="1007"/>
      <c r="L100" s="1007"/>
      <c r="M100" s="1007"/>
      <c r="N100" s="1007"/>
      <c r="O100" s="1007"/>
      <c r="P100" s="1007"/>
      <c r="Q100" s="1007"/>
      <c r="R100" s="1007"/>
      <c r="S100" s="1007"/>
    </row>
    <row r="101" spans="5:19" ht="12.75">
      <c r="E101" s="1007"/>
      <c r="F101" s="1007"/>
      <c r="G101" s="1007"/>
      <c r="H101" s="1007"/>
      <c r="I101" s="1007"/>
      <c r="J101" s="1007"/>
      <c r="K101" s="1007"/>
      <c r="L101" s="1007"/>
      <c r="M101" s="1007"/>
      <c r="N101" s="1007"/>
      <c r="O101" s="1007"/>
      <c r="P101" s="1007"/>
      <c r="Q101" s="1007"/>
      <c r="R101" s="1007"/>
      <c r="S101" s="1007"/>
    </row>
    <row r="102" spans="5:19" ht="12.75">
      <c r="E102" s="1007"/>
      <c r="F102" s="1007"/>
      <c r="G102" s="1007"/>
      <c r="H102" s="1007"/>
      <c r="I102" s="1007"/>
      <c r="J102" s="1007"/>
      <c r="K102" s="1007"/>
      <c r="L102" s="1007"/>
      <c r="M102" s="1007"/>
      <c r="N102" s="1007"/>
      <c r="O102" s="1007"/>
      <c r="P102" s="1007"/>
      <c r="Q102" s="1007"/>
      <c r="R102" s="1007"/>
      <c r="S102" s="1007"/>
    </row>
    <row r="103" spans="5:19" ht="12.75">
      <c r="E103" s="1007"/>
      <c r="F103" s="1007"/>
      <c r="G103" s="1007"/>
      <c r="H103" s="1007"/>
      <c r="I103" s="1007"/>
      <c r="J103" s="1007"/>
      <c r="K103" s="1007"/>
      <c r="L103" s="1007"/>
      <c r="M103" s="1007"/>
      <c r="N103" s="1007"/>
      <c r="O103" s="1007"/>
      <c r="P103" s="1007"/>
      <c r="Q103" s="1007"/>
      <c r="R103" s="1007"/>
      <c r="S103" s="1007"/>
    </row>
    <row r="104" spans="5:19" ht="12.75"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</row>
    <row r="105" spans="5:19" ht="12.75">
      <c r="E105" s="1007"/>
      <c r="F105" s="1007"/>
      <c r="G105" s="1007"/>
      <c r="H105" s="1007"/>
      <c r="I105" s="1007"/>
      <c r="J105" s="1007"/>
      <c r="K105" s="1007"/>
      <c r="L105" s="1007"/>
      <c r="M105" s="1007"/>
      <c r="N105" s="1007"/>
      <c r="O105" s="1007"/>
      <c r="P105" s="1007"/>
      <c r="Q105" s="1007"/>
      <c r="R105" s="1007"/>
      <c r="S105" s="1007"/>
    </row>
    <row r="106" spans="5:19" ht="12.75">
      <c r="E106" s="1007"/>
      <c r="F106" s="1007"/>
      <c r="G106" s="1007"/>
      <c r="H106" s="1007"/>
      <c r="I106" s="1007"/>
      <c r="J106" s="1007"/>
      <c r="K106" s="1007"/>
      <c r="L106" s="1007"/>
      <c r="M106" s="1007"/>
      <c r="N106" s="1007"/>
      <c r="O106" s="1007"/>
      <c r="P106" s="1007"/>
      <c r="Q106" s="1007"/>
      <c r="R106" s="1007"/>
      <c r="S106" s="1007"/>
    </row>
    <row r="107" spans="5:19" ht="12.75"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1007"/>
      <c r="O107" s="1007"/>
      <c r="P107" s="1007"/>
      <c r="Q107" s="1007"/>
      <c r="R107" s="1007"/>
      <c r="S107" s="1007"/>
    </row>
    <row r="108" spans="5:19" ht="12.75">
      <c r="E108" s="1007"/>
      <c r="F108" s="1007"/>
      <c r="G108" s="1007"/>
      <c r="H108" s="1007"/>
      <c r="I108" s="1007"/>
      <c r="J108" s="1007"/>
      <c r="K108" s="1007"/>
      <c r="L108" s="1007"/>
      <c r="M108" s="1007"/>
      <c r="N108" s="1007"/>
      <c r="O108" s="1007"/>
      <c r="P108" s="1007"/>
      <c r="Q108" s="1007"/>
      <c r="R108" s="1007"/>
      <c r="S108" s="1007"/>
    </row>
    <row r="109" spans="5:19" ht="12.75"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7"/>
      <c r="P109" s="1007"/>
      <c r="Q109" s="1007"/>
      <c r="R109" s="1007"/>
      <c r="S109" s="1007"/>
    </row>
    <row r="110" spans="5:19" ht="12.75"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  <c r="O110" s="1007"/>
      <c r="P110" s="1007"/>
      <c r="Q110" s="1007"/>
      <c r="R110" s="1007"/>
      <c r="S110" s="1007"/>
    </row>
    <row r="111" spans="5:19" ht="12.75">
      <c r="E111" s="1007"/>
      <c r="F111" s="1007"/>
      <c r="G111" s="1007"/>
      <c r="H111" s="1007"/>
      <c r="I111" s="1007"/>
      <c r="J111" s="1007"/>
      <c r="K111" s="1007"/>
      <c r="L111" s="1007"/>
      <c r="M111" s="1007"/>
      <c r="N111" s="1007"/>
      <c r="O111" s="1007"/>
      <c r="P111" s="1007"/>
      <c r="Q111" s="1007"/>
      <c r="R111" s="1007"/>
      <c r="S111" s="1007"/>
    </row>
    <row r="112" spans="5:19" ht="12.75">
      <c r="E112" s="1007"/>
      <c r="F112" s="1007"/>
      <c r="G112" s="1007"/>
      <c r="H112" s="1007"/>
      <c r="I112" s="1007"/>
      <c r="J112" s="1007"/>
      <c r="K112" s="1007"/>
      <c r="L112" s="1007"/>
      <c r="M112" s="1007"/>
      <c r="N112" s="1007"/>
      <c r="O112" s="1007"/>
      <c r="P112" s="1007"/>
      <c r="Q112" s="1007"/>
      <c r="R112" s="1007"/>
      <c r="S112" s="1007"/>
    </row>
    <row r="113" spans="5:19" ht="12.75"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7"/>
      <c r="O113" s="1007"/>
      <c r="P113" s="1007"/>
      <c r="Q113" s="1007"/>
      <c r="R113" s="1007"/>
      <c r="S113" s="1007"/>
    </row>
    <row r="114" spans="5:19" ht="12.75">
      <c r="E114" s="1007"/>
      <c r="F114" s="1007"/>
      <c r="G114" s="1007"/>
      <c r="H114" s="1007"/>
      <c r="I114" s="1007"/>
      <c r="J114" s="1007"/>
      <c r="K114" s="1007"/>
      <c r="L114" s="1007"/>
      <c r="M114" s="1007"/>
      <c r="N114" s="1007"/>
      <c r="O114" s="1007"/>
      <c r="P114" s="1007"/>
      <c r="Q114" s="1007"/>
      <c r="R114" s="1007"/>
      <c r="S114" s="1007"/>
    </row>
    <row r="115" spans="5:19" ht="12.75"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7"/>
      <c r="O115" s="1007"/>
      <c r="P115" s="1007"/>
      <c r="Q115" s="1007"/>
      <c r="R115" s="1007"/>
      <c r="S115" s="1007"/>
    </row>
    <row r="116" spans="5:19" ht="12.75">
      <c r="E116" s="1007"/>
      <c r="F116" s="1007"/>
      <c r="G116" s="1007"/>
      <c r="H116" s="1007"/>
      <c r="I116" s="1007"/>
      <c r="J116" s="1007"/>
      <c r="K116" s="1007"/>
      <c r="L116" s="1007"/>
      <c r="M116" s="1007"/>
      <c r="N116" s="1007"/>
      <c r="O116" s="1007"/>
      <c r="P116" s="1007"/>
      <c r="Q116" s="1007"/>
      <c r="R116" s="1007"/>
      <c r="S116" s="1007"/>
    </row>
    <row r="117" spans="5:19" ht="12.75"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</row>
    <row r="118" spans="5:19" ht="12.75"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</row>
    <row r="119" spans="5:19" ht="12.75">
      <c r="E119" s="1007"/>
      <c r="F119" s="1007"/>
      <c r="G119" s="1007"/>
      <c r="H119" s="1007"/>
      <c r="I119" s="1007"/>
      <c r="J119" s="1007"/>
      <c r="K119" s="1007"/>
      <c r="L119" s="1007"/>
      <c r="M119" s="1007"/>
      <c r="N119" s="1007"/>
      <c r="O119" s="1007"/>
      <c r="P119" s="1007"/>
      <c r="Q119" s="1007"/>
      <c r="R119" s="1007"/>
      <c r="S119" s="1007"/>
    </row>
    <row r="120" spans="5:19" ht="12.75">
      <c r="E120" s="1007"/>
      <c r="F120" s="1007"/>
      <c r="G120" s="1007"/>
      <c r="H120" s="1007"/>
      <c r="I120" s="1007"/>
      <c r="J120" s="1007"/>
      <c r="K120" s="1007"/>
      <c r="L120" s="1007"/>
      <c r="M120" s="1007"/>
      <c r="N120" s="1007"/>
      <c r="O120" s="1007"/>
      <c r="P120" s="1007"/>
      <c r="Q120" s="1007"/>
      <c r="R120" s="1007"/>
      <c r="S120" s="1007"/>
    </row>
    <row r="121" spans="5:19" ht="12.75">
      <c r="E121" s="1007"/>
      <c r="F121" s="1007"/>
      <c r="G121" s="1007"/>
      <c r="H121" s="1007"/>
      <c r="I121" s="1007"/>
      <c r="J121" s="1007"/>
      <c r="K121" s="1007"/>
      <c r="L121" s="1007"/>
      <c r="M121" s="1007"/>
      <c r="N121" s="1007"/>
      <c r="O121" s="1007"/>
      <c r="P121" s="1007"/>
      <c r="Q121" s="1007"/>
      <c r="R121" s="1007"/>
      <c r="S121" s="1007"/>
    </row>
    <row r="122" spans="5:19" ht="12.75">
      <c r="E122" s="1007"/>
      <c r="F122" s="1007"/>
      <c r="G122" s="1007"/>
      <c r="H122" s="1007"/>
      <c r="I122" s="1007"/>
      <c r="J122" s="1007"/>
      <c r="K122" s="1007"/>
      <c r="L122" s="1007"/>
      <c r="M122" s="1007"/>
      <c r="N122" s="1007"/>
      <c r="O122" s="1007"/>
      <c r="P122" s="1007"/>
      <c r="Q122" s="1007"/>
      <c r="R122" s="1007"/>
      <c r="S122" s="1007"/>
    </row>
    <row r="123" spans="5:19" ht="12.75">
      <c r="E123" s="1007"/>
      <c r="F123" s="1007"/>
      <c r="G123" s="1007"/>
      <c r="H123" s="1007"/>
      <c r="I123" s="1007"/>
      <c r="J123" s="1007"/>
      <c r="K123" s="1007"/>
      <c r="L123" s="1007"/>
      <c r="M123" s="1007"/>
      <c r="N123" s="1007"/>
      <c r="O123" s="1007"/>
      <c r="P123" s="1007"/>
      <c r="Q123" s="1007"/>
      <c r="R123" s="1007"/>
      <c r="S123" s="1007"/>
    </row>
    <row r="124" spans="5:19" ht="12.75">
      <c r="E124" s="1007"/>
      <c r="F124" s="1007"/>
      <c r="G124" s="1007"/>
      <c r="H124" s="1007"/>
      <c r="I124" s="1007"/>
      <c r="J124" s="1007"/>
      <c r="K124" s="1007"/>
      <c r="L124" s="1007"/>
      <c r="M124" s="1007"/>
      <c r="N124" s="1007"/>
      <c r="O124" s="1007"/>
      <c r="P124" s="1007"/>
      <c r="Q124" s="1007"/>
      <c r="R124" s="1007"/>
      <c r="S124" s="1007"/>
    </row>
    <row r="125" spans="5:19" ht="12.75">
      <c r="E125" s="1007"/>
      <c r="F125" s="1007"/>
      <c r="G125" s="1007"/>
      <c r="H125" s="1007"/>
      <c r="I125" s="1007"/>
      <c r="J125" s="1007"/>
      <c r="K125" s="1007"/>
      <c r="L125" s="1007"/>
      <c r="M125" s="1007"/>
      <c r="N125" s="1007"/>
      <c r="O125" s="1007"/>
      <c r="P125" s="1007"/>
      <c r="Q125" s="1007"/>
      <c r="R125" s="1007"/>
      <c r="S125" s="1007"/>
    </row>
    <row r="126" spans="5:19" ht="12.75">
      <c r="E126" s="1007"/>
      <c r="F126" s="1007"/>
      <c r="G126" s="1007"/>
      <c r="H126" s="1007"/>
      <c r="I126" s="1007"/>
      <c r="J126" s="1007"/>
      <c r="K126" s="1007"/>
      <c r="L126" s="1007"/>
      <c r="M126" s="1007"/>
      <c r="N126" s="1007"/>
      <c r="O126" s="1007"/>
      <c r="P126" s="1007"/>
      <c r="Q126" s="1007"/>
      <c r="R126" s="1007"/>
      <c r="S126" s="1007"/>
    </row>
    <row r="127" spans="5:19" ht="12.75">
      <c r="E127" s="1007"/>
      <c r="F127" s="1007"/>
      <c r="G127" s="1007"/>
      <c r="H127" s="1007"/>
      <c r="I127" s="1007"/>
      <c r="J127" s="1007"/>
      <c r="K127" s="1007"/>
      <c r="L127" s="1007"/>
      <c r="M127" s="1007"/>
      <c r="N127" s="1007"/>
      <c r="O127" s="1007"/>
      <c r="P127" s="1007"/>
      <c r="Q127" s="1007"/>
      <c r="R127" s="1007"/>
      <c r="S127" s="1007"/>
    </row>
    <row r="128" spans="5:19" ht="12.75">
      <c r="E128" s="1007"/>
      <c r="F128" s="1007"/>
      <c r="G128" s="1007"/>
      <c r="H128" s="1007"/>
      <c r="I128" s="1007"/>
      <c r="J128" s="1007"/>
      <c r="K128" s="1007"/>
      <c r="L128" s="1007"/>
      <c r="M128" s="1007"/>
      <c r="N128" s="1007"/>
      <c r="O128" s="1007"/>
      <c r="P128" s="1007"/>
      <c r="Q128" s="1007"/>
      <c r="R128" s="1007"/>
      <c r="S128" s="1007"/>
    </row>
    <row r="129" spans="5:19" ht="12.75">
      <c r="E129" s="1007"/>
      <c r="F129" s="1007"/>
      <c r="G129" s="1007"/>
      <c r="H129" s="1007"/>
      <c r="I129" s="1007"/>
      <c r="J129" s="1007"/>
      <c r="K129" s="1007"/>
      <c r="L129" s="1007"/>
      <c r="M129" s="1007"/>
      <c r="N129" s="1007"/>
      <c r="O129" s="1007"/>
      <c r="P129" s="1007"/>
      <c r="Q129" s="1007"/>
      <c r="R129" s="1007"/>
      <c r="S129" s="1007"/>
    </row>
    <row r="130" spans="5:19" ht="12.75">
      <c r="E130" s="1007"/>
      <c r="F130" s="1007"/>
      <c r="G130" s="1007"/>
      <c r="H130" s="1007"/>
      <c r="I130" s="1007"/>
      <c r="J130" s="1007"/>
      <c r="K130" s="1007"/>
      <c r="L130" s="1007"/>
      <c r="M130" s="1007"/>
      <c r="N130" s="1007"/>
      <c r="O130" s="1007"/>
      <c r="P130" s="1007"/>
      <c r="Q130" s="1007"/>
      <c r="R130" s="1007"/>
      <c r="S130" s="1007"/>
    </row>
    <row r="131" spans="5:19" ht="12.75">
      <c r="E131" s="1007"/>
      <c r="F131" s="1007"/>
      <c r="G131" s="1007"/>
      <c r="H131" s="1007"/>
      <c r="I131" s="1007"/>
      <c r="J131" s="1007"/>
      <c r="K131" s="1007"/>
      <c r="L131" s="1007"/>
      <c r="M131" s="1007"/>
      <c r="N131" s="1007"/>
      <c r="O131" s="1007"/>
      <c r="P131" s="1007"/>
      <c r="Q131" s="1007"/>
      <c r="R131" s="1007"/>
      <c r="S131" s="1007"/>
    </row>
    <row r="132" spans="5:19" ht="12.75">
      <c r="E132" s="1007"/>
      <c r="F132" s="1007"/>
      <c r="G132" s="1007"/>
      <c r="H132" s="1007"/>
      <c r="I132" s="1007"/>
      <c r="J132" s="1007"/>
      <c r="K132" s="1007"/>
      <c r="L132" s="1007"/>
      <c r="M132" s="1007"/>
      <c r="N132" s="1007"/>
      <c r="O132" s="1007"/>
      <c r="P132" s="1007"/>
      <c r="Q132" s="1007"/>
      <c r="R132" s="1007"/>
      <c r="S132" s="1007"/>
    </row>
    <row r="133" spans="5:19" ht="12.75">
      <c r="E133" s="1007"/>
      <c r="F133" s="1007"/>
      <c r="G133" s="1007"/>
      <c r="H133" s="1007"/>
      <c r="I133" s="1007"/>
      <c r="J133" s="1007"/>
      <c r="K133" s="1007"/>
      <c r="L133" s="1007"/>
      <c r="M133" s="1007"/>
      <c r="N133" s="1007"/>
      <c r="O133" s="1007"/>
      <c r="P133" s="1007"/>
      <c r="Q133" s="1007"/>
      <c r="R133" s="1007"/>
      <c r="S133" s="1007"/>
    </row>
  </sheetData>
  <sheetProtection/>
  <mergeCells count="4">
    <mergeCell ref="A5:Q5"/>
    <mergeCell ref="F11:O11"/>
    <mergeCell ref="F12:K12"/>
    <mergeCell ref="L12:O12"/>
  </mergeCells>
  <printOptions horizontalCentered="1" verticalCentered="1"/>
  <pageMargins left="0.07874015748031496" right="0.07874015748031496" top="0.31496062992125984" bottom="0.31496062992125984" header="0.196850393700787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II.ker.PH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PÜ</dc:creator>
  <cp:keywords/>
  <dc:description/>
  <cp:lastModifiedBy>Fonai Lajosné</cp:lastModifiedBy>
  <cp:lastPrinted>2014-04-30T07:55:57Z</cp:lastPrinted>
  <dcterms:created xsi:type="dcterms:W3CDTF">2000-06-16T09:18:22Z</dcterms:created>
  <dcterms:modified xsi:type="dcterms:W3CDTF">2014-04-30T13:53:36Z</dcterms:modified>
  <cp:category/>
  <cp:version/>
  <cp:contentType/>
  <cp:contentStatus/>
</cp:coreProperties>
</file>